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32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<sst xmlns="http://schemas.openxmlformats.org/spreadsheetml/2006/main" count="2848" uniqueCount="2064">
  <si>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</si>
  <si>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</si>
  <si>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</si>
  <si>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</si>
  <si>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</si>
  <si>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</si>
  <si>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</si>
  <si>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</si>
  <si>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</si>
  <si>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</si>
  <si>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</si>
  <si>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</si>
  <si>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</si>
  <si>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</si>
  <si>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</si>
  <si>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</si>
  <si>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</si>
  <si>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</si>
  <si>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</si>
  <si>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</si>
  <si>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</si>
  <si>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</si>
  <si>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</si>
  <si>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</si>
  <si>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</si>
  <si>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</si>
  <si>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</si>
  <si>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</si>
  <si>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</si>
  <si>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</si>
  <si>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</si>
  <si>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</si>
  <si>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</si>
  <si>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</si>
  <si>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</si>
  <si>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</si>
  <si>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</si>
  <si>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</si>
  <si>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</si>
  <si>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</si>
  <si>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</si>
  <si>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</si>
  <si>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</si>
  <si>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</si>
  <si>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</si>
  <si>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</si>
  <si>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</si>
  <si>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</si>
  <si>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</si>
  <si>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</si>
  <si>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</si>
  <si>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</si>
  <si>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</si>
  <si>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</si>
  <si>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</si>
  <si>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</si>
  <si>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</si>
  <si>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</si>
  <si>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</si>
  <si>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</si>
  <si>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</si>
  <si>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</si>
  <si>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</si>
  <si>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</si>
  <si>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</si>
  <si>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</si>
  <si>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</si>
  <si>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</si>
  <si>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</si>
  <si>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</si>
  <si>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</si>
  <si>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</si>
  <si>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</si>
  <si>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</si>
  <si>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</si>
  <si>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</si>
  <si>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</si>
  <si>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</si>
  <si>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</si>
  <si>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</si>
  <si>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</si>
  <si>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</si>
  <si>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</si>
  <si>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</si>
  <si>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</si>
  <si>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</si>
  <si>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</si>
  <si>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</si>
  <si>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</si>
  <si>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</si>
  <si>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</si>
  <si>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</si>
  <si>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</si>
  <si>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</si>
  <si>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</si>
  <si>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</si>
  <si>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</si>
  <si>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</si>
  <si>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</si>
  <si>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</si>
  <si>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</si>
  <si>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</si>
  <si>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</si>
  <si>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</si>
  <si>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</si>
  <si>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</si>
  <si>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</si>
  <si>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</si>
  <si>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</si>
  <si>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</si>
  <si>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</si>
  <si>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</si>
  <si>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</si>
  <si>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</si>
  <si>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</si>
  <si>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</si>
  <si>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</si>
  <si>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</si>
  <si>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</si>
  <si>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</si>
  <si>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</si>
  <si>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</si>
  <si>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</si>
  <si>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</si>
  <si>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</si>
  <si>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</si>
  <si>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</si>
  <si>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</si>
  <si>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</si>
  <si>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</si>
  <si>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</si>
  <si>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</si>
  <si>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</si>
  <si>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</si>
  <si>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</si>
  <si>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</si>
  <si>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</si>
  <si>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</si>
  <si>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</si>
  <si>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</si>
  <si>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</si>
  <si>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</si>
  <si>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</si>
  <si>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</si>
  <si>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</si>
  <si>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</si>
  <si>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</si>
  <si>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</si>
  <si>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</si>
  <si>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</si>
  <si>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</si>
  <si>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</si>
  <si>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</si>
  <si>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</si>
  <si>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</si>
  <si>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</si>
  <si>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</si>
  <si>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</si>
  <si>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</si>
  <si>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</si>
  <si>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</si>
  <si>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</si>
  <si>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</si>
  <si>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</si>
  <si>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</si>
  <si>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</si>
  <si>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</si>
  <si>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</si>
  <si>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</si>
  <si>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</si>
  <si>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</si>
  <si>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</si>
  <si>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</si>
  <si>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</si>
  <si>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</si>
  <si>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</si>
  <si>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</si>
  <si>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</si>
  <si>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</si>
  <si>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</si>
  <si>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</si>
  <si>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</si>
  <si>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</si>
  <si>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</si>
  <si>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</si>
  <si>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</si>
  <si>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</si>
  <si>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</si>
  <si>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</si>
  <si>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</si>
  <si>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</si>
  <si>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</si>
  <si>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</si>
  <si>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</si>
  <si>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</si>
  <si>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</si>
  <si>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</si>
  <si>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</si>
  <si>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</si>
  <si>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</si>
  <si>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</si>
  <si>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</si>
  <si>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</si>
  <si>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</si>
  <si>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</si>
  <si>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</si>
  <si>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</si>
  <si>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</si>
  <si>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</si>
  <si>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</si>
  <si>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</si>
  <si>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</si>
  <si>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</si>
  <si>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</si>
  <si>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</si>
  <si>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</si>
  <si>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</si>
  <si>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</si>
  <si>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</si>
  <si>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</si>
  <si>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</si>
  <si>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</si>
  <si>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</si>
  <si>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</si>
  <si>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</si>
  <si>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</si>
  <si>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</si>
  <si>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</si>
  <si>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</si>
  <si>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</si>
  <si>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</si>
  <si>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</si>
  <si>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</si>
  <si>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</si>
  <si>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</si>
  <si>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</si>
  <si>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</si>
  <si>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</si>
  <si>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</si>
  <si>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</si>
  <si>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</si>
  <si>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</si>
  <si>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</si>
  <si>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</si>
  <si>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</si>
  <si>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</si>
  <si>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</si>
  <si>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</si>
  <si>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</si>
  <si>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</si>
  <si>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</si>
  <si>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</si>
  <si>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</si>
  <si>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</si>
  <si>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</si>
  <si>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</si>
  <si>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</si>
  <si>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</si>
  <si>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</si>
  <si>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</si>
  <si>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</si>
  <si>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</si>
  <si>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</si>
  <si>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</si>
  <si>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</si>
  <si>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</si>
  <si>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</si>
  <si>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</si>
  <si>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</si>
  <si>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</si>
  <si>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</si>
  <si>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</si>
  <si>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</si>
  <si>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</si>
  <si>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</si>
  <si>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</si>
  <si>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</si>
  <si>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</si>
  <si>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</si>
  <si>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</si>
  <si>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</si>
  <si>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</si>
  <si>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</si>
  <si>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</si>
  <si>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</si>
  <si>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</si>
  <si>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</si>
  <si>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</si>
  <si>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</si>
  <si>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</si>
  <si>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</si>
  <si>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</si>
  <si>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</si>
  <si>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</si>
  <si>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</si>
  <si>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</si>
  <si>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</si>
  <si>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</si>
  <si>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</si>
  <si>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</si>
  <si>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</si>
  <si>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</si>
  <si>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</si>
  <si>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</si>
  <si>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</si>
  <si>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</si>
  <si>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</si>
  <si>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</si>
  <si>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</si>
  <si>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</si>
  <si>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</si>
  <si>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</si>
  <si>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</si>
  <si>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</si>
  <si>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</si>
  <si>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</si>
  <si>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</si>
  <si>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</si>
  <si>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</si>
  <si>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</si>
  <si>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</si>
  <si>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</si>
  <si>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</si>
  <si>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</si>
  <si>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</si>
  <si>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</si>
  <si>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</si>
  <si>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</si>
  <si>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</si>
  <si>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</si>
  <si>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</si>
  <si>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</si>
  <si>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</si>
  <si>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</si>
  <si>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</si>
  <si>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</si>
  <si>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</si>
  <si>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</si>
  <si>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</si>
  <si>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</si>
  <si>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</si>
  <si>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</si>
  <si>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</si>
  <si>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</si>
  <si>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</si>
  <si>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</si>
  <si>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</si>
  <si>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</si>
  <si>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</si>
  <si>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</si>
  <si>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</si>
  <si>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</si>
  <si>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</si>
  <si>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</si>
  <si>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</si>
  <si>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</si>
  <si>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</si>
  <si>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</si>
  <si>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</si>
  <si>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</si>
  <si>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</si>
  <si>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</si>
  <si>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</si>
  <si>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</si>
  <si>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</si>
  <si>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</si>
  <si>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</si>
  <si>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</si>
  <si>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</si>
  <si>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</si>
  <si>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</si>
  <si>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</si>
  <si>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</si>
  <si>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</si>
  <si>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</si>
  <si>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</si>
  <si>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</si>
  <si>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</si>
  <si>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</si>
  <si>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</si>
  <si>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</si>
  <si>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</si>
  <si>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</si>
  <si>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</si>
  <si>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</si>
  <si>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</si>
  <si>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</si>
  <si>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</si>
  <si>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</si>
  <si>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</si>
  <si>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</si>
  <si>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</si>
  <si>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</si>
  <si>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</si>
  <si>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</si>
  <si>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</si>
  <si>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</si>
  <si>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</si>
  <si>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</si>
  <si>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</si>
  <si>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</si>
  <si>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</si>
  <si>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</si>
  <si>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</si>
  <si>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</si>
  <si>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</si>
  <si>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</si>
  <si>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</si>
  <si>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</si>
  <si>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</si>
  <si>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</si>
  <si>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</si>
  <si>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</si>
  <si>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</si>
  <si>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</si>
  <si>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</si>
  <si>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</si>
  <si>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</si>
  <si>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</si>
  <si>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</si>
  <si>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</si>
  <si>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</si>
  <si>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</si>
  <si>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</si>
  <si>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</si>
  <si>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</si>
  <si>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</si>
  <si>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</si>
  <si>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</si>
  <si>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</si>
  <si>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</si>
  <si>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</si>
  <si>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</si>
  <si>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</si>
  <si>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</si>
  <si>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</si>
  <si>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</si>
  <si>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</si>
  <si>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</si>
  <si>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</si>
  <si>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</si>
  <si>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</si>
  <si>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</si>
  <si>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</si>
  <si>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</si>
  <si>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</si>
  <si>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</si>
  <si>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</si>
  <si>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</si>
  <si>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</si>
  <si>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</si>
  <si>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</si>
  <si>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</si>
  <si>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</si>
  <si>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</si>
  <si>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</si>
  <si>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</si>
  <si>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</si>
  <si>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</si>
  <si>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</si>
  <si>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</si>
  <si>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</si>
  <si>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</si>
  <si>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</si>
  <si>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</si>
  <si>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</si>
  <si>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</si>
  <si>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</si>
  <si>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</si>
  <si>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</si>
  <si>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</si>
  <si>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</si>
  <si>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</si>
  <si>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</si>
  <si>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</si>
  <si>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</si>
  <si>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</si>
  <si>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</si>
  <si>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</si>
  <si>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</si>
  <si>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</si>
  <si>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</si>
  <si>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</si>
  <si>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</si>
  <si>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</si>
  <si>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</si>
  <si>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</si>
  <si>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</si>
  <si>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</si>
  <si>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</si>
  <si>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</si>
  <si>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</si>
  <si>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</si>
  <si>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</si>
  <si>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</si>
  <si>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</si>
  <si>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</si>
  <si>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</si>
  <si>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</si>
  <si>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</si>
  <si>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</si>
  <si>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</si>
  <si>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</si>
  <si>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</si>
  <si>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</si>
  <si>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</si>
  <si>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</si>
  <si>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</si>
  <si>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</si>
  <si>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</si>
  <si>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</si>
  <si>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</si>
  <si>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</si>
  <si>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</si>
  <si>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</si>
  <si>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</si>
  <si>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</si>
  <si>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</si>
  <si>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</si>
  <si>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</si>
  <si>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</si>
  <si>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</si>
  <si>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</si>
  <si>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</si>
  <si>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</si>
  <si>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</si>
  <si>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</si>
  <si>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</si>
  <si>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</si>
  <si>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</si>
  <si>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</si>
  <si>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</si>
  <si>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</si>
  <si>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</si>
  <si>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</si>
  <si>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</si>
  <si>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</si>
  <si>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</si>
  <si>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</si>
  <si>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</si>
  <si>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</si>
  <si>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</si>
  <si>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</si>
  <si>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</si>
  <si>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</si>
  <si>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</si>
  <si>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</si>
  <si>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</si>
  <si>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</si>
  <si>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</si>
  <si>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</si>
  <si>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</si>
  <si>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</si>
  <si>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</si>
  <si>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</si>
  <si>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</si>
  <si>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</si>
  <si>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</si>
  <si>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</si>
  <si>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</si>
  <si>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</si>
  <si>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</si>
  <si>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</si>
  <si>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</si>
  <si>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</si>
  <si>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</si>
  <si>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</si>
  <si>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</si>
  <si>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</si>
  <si>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</si>
  <si>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</si>
  <si>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</si>
  <si>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</si>
  <si>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</si>
  <si>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</si>
  <si>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</si>
  <si>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</si>
  <si>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</si>
  <si>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</si>
  <si>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</si>
  <si>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</si>
  <si>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</si>
  <si>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</si>
  <si>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</si>
  <si>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</si>
  <si>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</si>
  <si>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</si>
  <si>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</si>
  <si>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</si>
  <si>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</si>
  <si>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</si>
  <si>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</si>
  <si>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</si>
  <si>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</si>
  <si>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</si>
  <si>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</si>
  <si>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</si>
  <si>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</si>
  <si>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</si>
  <si>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</si>
  <si>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</si>
  <si>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</si>
  <si>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</si>
  <si>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</si>
  <si>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</si>
  <si>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</si>
  <si>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</si>
  <si>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</si>
  <si>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</si>
  <si>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</si>
  <si>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</si>
  <si>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</si>
  <si>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</si>
  <si>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</si>
  <si>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</si>
  <si>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</si>
  <si>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</si>
  <si>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</si>
  <si>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</si>
  <si>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</si>
  <si>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</si>
  <si>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</si>
  <si>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</si>
  <si>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</si>
  <si>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</si>
  <si>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</si>
  <si>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</si>
  <si>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</si>
  <si>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</si>
  <si>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</si>
  <si>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</si>
  <si>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</si>
  <si>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</si>
  <si>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</si>
  <si>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</si>
  <si>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</si>
  <si>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</si>
  <si>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</si>
  <si>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</si>
  <si>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</si>
  <si>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</si>
  <si>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</si>
  <si>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</si>
  <si>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</si>
  <si>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</si>
  <si>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</si>
  <si>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</si>
  <si>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</si>
  <si>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</si>
  <si>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</si>
  <si>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</si>
  <si>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</si>
  <si>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</si>
  <si>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</si>
  <si>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</si>
  <si>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</si>
  <si>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</si>
  <si>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</si>
  <si>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</si>
  <si>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</si>
  <si>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</si>
  <si>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</si>
  <si>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</si>
  <si>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</si>
  <si>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</si>
  <si>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</si>
  <si>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</si>
  <si>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</si>
  <si>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</si>
  <si>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</si>
  <si>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</si>
  <si>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</si>
  <si>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</si>
  <si>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</si>
  <si>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</si>
  <si>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</si>
  <si>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</si>
  <si>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</si>
  <si>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</si>
  <si>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</si>
  <si>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</si>
  <si>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</si>
  <si>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</si>
  <si>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</si>
  <si>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</si>
  <si>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</si>
  <si>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</si>
  <si>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</si>
  <si>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</si>
  <si>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</si>
  <si>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</si>
  <si>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</si>
  <si>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</si>
  <si>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</si>
  <si>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</si>
  <si>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</si>
  <si>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</si>
  <si>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</si>
  <si>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</si>
  <si>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</si>
  <si>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</si>
  <si>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</si>
  <si>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</si>
  <si>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</si>
  <si>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</si>
  <si>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</si>
  <si>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</si>
  <si>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</si>
  <si>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</si>
  <si>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</si>
  <si>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</si>
  <si>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</si>
  <si>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</si>
  <si>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</si>
  <si>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</si>
  <si>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</si>
  <si>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</si>
  <si>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</si>
  <si>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</si>
  <si>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</si>
  <si>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</si>
  <si>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</si>
  <si>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</si>
  <si>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</si>
  <si>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</si>
  <si>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</si>
  <si>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</si>
  <si>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</si>
  <si>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</si>
  <si>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</si>
  <si>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</si>
  <si>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</si>
  <si>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</si>
  <si>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</si>
  <si>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</si>
  <si>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</si>
  <si>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</si>
  <si>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</si>
  <si>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</si>
  <si>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</si>
  <si>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</si>
  <si>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</si>
  <si>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</si>
  <si>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</si>
  <si>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</si>
  <si>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</si>
  <si>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</si>
  <si>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</si>
  <si>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</si>
  <si>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</si>
  <si>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</si>
  <si>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</si>
  <si>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</si>
  <si>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</si>
  <si>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</si>
  <si>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</si>
  <si>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</si>
  <si>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</si>
  <si>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</si>
  <si>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</si>
  <si>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</si>
  <si>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</si>
  <si>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</si>
  <si>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</si>
  <si>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</si>
  <si>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</si>
  <si>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</si>
  <si>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</si>
  <si>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</si>
  <si>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</si>
  <si>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</si>
  <si>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</si>
  <si>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</si>
  <si>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</si>
  <si>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</si>
  <si>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</si>
  <si>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</si>
  <si>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</si>
  <si>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</si>
  <si>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</si>
  <si>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</si>
  <si>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</si>
  <si>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</si>
  <si>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</si>
  <si>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</si>
  <si>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</si>
  <si>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</si>
  <si>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</si>
  <si>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</si>
  <si>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</si>
  <si>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</si>
  <si>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</si>
  <si>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</si>
  <si>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</si>
  <si>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</si>
  <si>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</si>
  <si>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</si>
  <si>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</si>
  <si>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</si>
  <si>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</si>
  <si>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</si>
  <si>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</si>
  <si>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</si>
  <si>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</si>
  <si>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</si>
  <si>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</si>
  <si>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</si>
  <si>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</si>
  <si>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</si>
  <si>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</si>
  <si>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</si>
  <si>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</si>
  <si>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</si>
  <si>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</si>
  <si>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</si>
  <si>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</si>
  <si>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</si>
  <si>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</si>
  <si>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</si>
  <si>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</si>
  <si>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</si>
  <si>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</si>
  <si>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</si>
  <si>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</si>
  <si>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</si>
  <si>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</si>
  <si>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</si>
  <si>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</si>
  <si>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</si>
  <si>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</si>
  <si>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</si>
  <si>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</si>
  <si>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</si>
  <si>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</si>
  <si>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</si>
  <si>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</si>
  <si>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</si>
  <si>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</si>
  <si>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</si>
  <si>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</si>
  <si>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</si>
  <si>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</si>
  <si>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</si>
  <si>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</si>
  <si>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</si>
  <si>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</si>
  <si>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</si>
  <si>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</si>
  <si>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</si>
  <si>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</si>
  <si>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</si>
  <si>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</si>
  <si>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</si>
  <si>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</si>
  <si>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</si>
  <si>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</si>
  <si>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</si>
  <si>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</si>
  <si>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</si>
  <si>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</si>
  <si>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</si>
  <si>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</si>
  <si>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</si>
  <si>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</si>
  <si>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</si>
  <si>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</si>
  <si>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</si>
  <si>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</si>
  <si>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</si>
  <si>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</si>
  <si>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</si>
  <si>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</si>
  <si>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</si>
  <si>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</si>
  <si>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</si>
  <si>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</si>
  <si>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</si>
  <si>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</si>
  <si>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</si>
  <si>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</si>
  <si>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</si>
  <si>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</si>
  <si>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</si>
  <si>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</si>
  <si>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</si>
  <si>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</si>
  <si>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</si>
  <si>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</si>
  <si>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</si>
  <si>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</si>
  <si>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</si>
  <si>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</si>
  <si>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</si>
  <si>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</si>
  <si>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</si>
  <si>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</si>
  <si>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</si>
  <si>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</si>
  <si>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</si>
  <si>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</si>
  <si>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</si>
  <si>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</si>
  <si>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</si>
  <si>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</si>
  <si>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</si>
  <si>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</si>
  <si>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</si>
  <si>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</si>
  <si>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</si>
  <si>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</si>
  <si>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</si>
  <si>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</si>
  <si>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</si>
  <si>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</si>
  <si>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</si>
  <si>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</si>
  <si>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</si>
  <si>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</si>
  <si>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</si>
  <si>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</si>
  <si>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</si>
  <si>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</si>
  <si>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</si>
  <si>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</si>
  <si>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</si>
  <si>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</si>
  <si>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</si>
  <si>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</si>
  <si>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</si>
  <si>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</si>
  <si>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</si>
  <si>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</si>
  <si>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</si>
  <si>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</si>
  <si>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</si>
  <si>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</si>
  <si>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</si>
  <si>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</si>
  <si>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</si>
  <si>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</si>
  <si>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</si>
  <si>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</si>
  <si>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</si>
  <si>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</si>
  <si>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</si>
  <si>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</si>
  <si>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</si>
  <si>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</si>
  <si>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</si>
  <si>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</si>
  <si>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</si>
  <si>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</si>
  <si>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</si>
  <si>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</si>
  <si>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</si>
  <si>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</si>
  <si>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</si>
  <si>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</si>
  <si>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</si>
  <si>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</si>
  <si>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</si>
  <si>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</si>
  <si>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</si>
  <si>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</si>
  <si>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</si>
  <si>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</si>
  <si>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</si>
  <si>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</si>
  <si>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</si>
  <si>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</si>
  <si>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</si>
  <si>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</si>
  <si>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</si>
  <si>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</si>
  <si>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</si>
  <si>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</si>
  <si>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</si>
  <si>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</si>
  <si>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</si>
  <si>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</si>
  <si>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</si>
  <si>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</si>
  <si>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</si>
  <si>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</si>
  <si>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</si>
  <si>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</si>
  <si>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</si>
  <si>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</si>
  <si>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</si>
  <si>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</si>
  <si>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</si>
  <si>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</si>
  <si>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</si>
  <si>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</si>
  <si>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</si>
  <si>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</si>
  <si>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</si>
  <si>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</si>
  <si>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</si>
  <si>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</si>
  <si>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</si>
  <si>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</si>
  <si>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</si>
  <si>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</si>
  <si>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</si>
  <si>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</si>
  <si>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</si>
  <si>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</si>
  <si>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</si>
  <si>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</si>
  <si>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</si>
  <si>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</si>
  <si>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</si>
  <si>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</si>
  <si>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</si>
  <si>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</si>
  <si>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</si>
  <si>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</si>
  <si>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</si>
  <si>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</si>
  <si>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</si>
  <si>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</si>
  <si>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</si>
  <si>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</si>
  <si>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</si>
  <si>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</si>
  <si>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</si>
  <si>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</si>
  <si>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</si>
  <si>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</si>
  <si>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</si>
  <si>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</si>
  <si>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</si>
  <si>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</si>
  <si>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</si>
  <si>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</si>
  <si>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</si>
  <si>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</si>
  <si>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</si>
  <si>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</si>
  <si>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</si>
  <si>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</si>
  <si>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</si>
  <si>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</si>
  <si>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</si>
  <si>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</si>
  <si>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</si>
  <si>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</si>
  <si>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</si>
  <si>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</si>
  <si>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</si>
  <si>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</si>
  <si>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</si>
  <si>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</si>
  <si>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</si>
  <si>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</si>
  <si>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</si>
  <si>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</si>
  <si>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</si>
  <si>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</si>
  <si>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</si>
  <si>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</si>
  <si>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</si>
  <si>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</si>
  <si>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</si>
  <si>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</si>
  <si>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</si>
  <si>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</si>
  <si>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</si>
  <si>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</si>
  <si>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</si>
  <si>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</si>
  <si>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</si>
  <si>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</si>
  <si>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</si>
  <si>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</si>
  <si>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</si>
  <si>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</si>
  <si>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</si>
  <si>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</si>
  <si>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</si>
  <si>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</si>
  <si>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</si>
  <si>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</si>
  <si>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</si>
  <si>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</si>
  <si>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</si>
  <si>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</si>
  <si>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</si>
  <si>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</si>
  <si>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</si>
  <si>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</si>
  <si>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</si>
  <si>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</si>
  <si>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</si>
  <si>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</si>
  <si>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</si>
  <si>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</si>
  <si>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</si>
  <si>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</si>
  <si>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</si>
  <si>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</si>
  <si>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</si>
  <si>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</si>
  <si>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</si>
  <si>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</si>
  <si>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</si>
  <si>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</si>
  <si>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</si>
  <si>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</si>
  <si>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</si>
  <si>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</si>
  <si>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</si>
  <si>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</si>
  <si>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</si>
  <si>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</si>
  <si>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</si>
  <si>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</si>
  <si>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</si>
  <si>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</si>
  <si>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</si>
  <si>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</si>
  <si>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</si>
  <si>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</si>
  <si>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</si>
  <si>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</si>
  <si>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</si>
  <si>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</si>
  <si>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</si>
  <si>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</si>
  <si>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</si>
  <si>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</si>
  <si>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</si>
  <si>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</si>
  <si>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</si>
  <si>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</si>
  <si>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</si>
  <si>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</si>
  <si>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</si>
  <si>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</si>
  <si>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</si>
  <si>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</si>
  <si>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</si>
  <si>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</si>
  <si>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</si>
  <si>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</si>
  <si>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</si>
  <si>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</si>
  <si>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</si>
  <si>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</si>
  <si>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</si>
  <si>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</si>
  <si>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</si>
  <si>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</si>
  <si>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</si>
  <si>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</si>
  <si>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</si>
  <si>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</si>
  <si>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</si>
  <si>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</si>
  <si>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</si>
  <si>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</si>
  <si>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</si>
  <si>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</si>
  <si>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</si>
  <si>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</si>
  <si>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</si>
  <si>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</si>
  <si>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</si>
  <si>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</si>
  <si>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</si>
  <si>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</si>
  <si>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</si>
  <si>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</si>
  <si>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</si>
  <si>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</si>
  <si>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</si>
  <si>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</si>
  <si>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</si>
  <si>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</si>
  <si>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</si>
  <si>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</si>
  <si>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</si>
  <si>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</si>
  <si>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</si>
  <si>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</si>
  <si>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</si>
  <si>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</si>
  <si>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</si>
  <si>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</si>
  <si>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</si>
  <si>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</si>
  <si>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</si>
  <si>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</si>
  <si>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</si>
  <si>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</si>
  <si>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</si>
  <si>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</si>
  <si>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</si>
  <si>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</si>
  <si>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</si>
  <si>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</si>
  <si>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</si>
  <si>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</si>
  <si>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</si>
  <si>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</si>
  <si>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</si>
  <si>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</si>
  <si>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</si>
  <si>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</si>
  <si>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</si>
  <si>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</si>
  <si>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</si>
  <si>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</si>
  <si>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</si>
  <si>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</si>
  <si>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</si>
  <si>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</si>
  <si>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</si>
  <si>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</si>
  <si>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</si>
  <si>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</si>
  <si>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</si>
  <si>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</si>
  <si>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</si>
  <si>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</si>
  <si>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</si>
  <si>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</si>
  <si>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</si>
  <si>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</si>
  <si>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</si>
  <si>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</si>
  <si>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</si>
  <si>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</si>
  <si>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</si>
  <si>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</si>
  <si>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</si>
  <si>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</si>
  <si>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</si>
  <si>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</si>
  <si>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</si>
  <si>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</si>
  <si>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</si>
  <si>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</si>
  <si>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</si>
  <si>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</si>
  <si>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</si>
  <si>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</si>
  <si>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</si>
  <si>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</si>
  <si>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</si>
  <si>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</si>
  <si>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</si>
  <si>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</si>
  <si>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</si>
  <si>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</si>
  <si>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</si>
  <si>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</si>
  <si>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</si>
  <si>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</si>
  <si>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</si>
  <si>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</si>
  <si>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</si>
  <si>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</si>
  <si>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</si>
  <si>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</si>
  <si>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</si>
  <si>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</si>
  <si>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</si>
  <si>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</si>
  <si>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</si>
  <si>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</si>
  <si>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</si>
  <si>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</si>
  <si>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</si>
  <si>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</si>
  <si>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</si>
  <si>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</si>
  <si>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</si>
  <si>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</si>
  <si>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</si>
  <si>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</si>
  <si>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</si>
  <si>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</si>
  <si>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</si>
  <si>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</si>
  <si>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</si>
  <si>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</si>
  <si>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</si>
  <si>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</si>
  <si>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</si>
  <si>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</si>
  <si>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</si>
  <si>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</si>
  <si>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</si>
  <si>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</si>
  <si>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</si>
  <si>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</si>
  <si>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</si>
  <si>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</si>
  <si>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</si>
  <si>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</si>
  <si>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</si>
  <si>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</si>
  <si>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</si>
  <si>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</si>
  <si>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</si>
  <si>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</si>
  <si>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</si>
  <si>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</si>
  <si>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</si>
  <si>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</si>
  <si>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</si>
  <si>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</si>
  <si>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</si>
  <si>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</si>
  <si>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</si>
  <si>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</si>
  <si>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</si>
  <si>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</si>
  <si>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</si>
  <si>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</si>
  <si>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</si>
  <si>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</si>
  <si>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</si>
  <si>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</si>
  <si>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</si>
  <si>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</si>
  <si>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</si>
  <si>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</si>
  <si>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</si>
  <si>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</si>
  <si>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</si>
  <si>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</si>
  <si>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</si>
  <si>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</si>
  <si>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</si>
  <si>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</si>
  <si>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</si>
  <si>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</si>
  <si>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</si>
  <si>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</si>
  <si>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</si>
  <si>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</si>
  <si>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</si>
  <si>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</si>
  <si>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</si>
  <si>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</si>
  <si>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</si>
  <si>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</si>
  <si>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</si>
  <si>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</si>
  <si>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</si>
  <si>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</si>
  <si>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</si>
  <si>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</si>
  <si>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</si>
  <si>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</si>
  <si>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</si>
  <si>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</si>
  <si>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</si>
  <si>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</si>
  <si>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</si>
  <si>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</si>
  <si>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</si>
  <si>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</si>
  <si>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</si>
  <si>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</si>
  <si>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</si>
  <si>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</si>
  <si>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</si>
  <si>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</si>
  <si>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</si>
  <si>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</si>
  <si>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</si>
  <si>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</si>
  <si>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</si>
  <si>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</si>
  <si>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</si>
  <si>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</si>
  <si>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</si>
  <si>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</si>
  <si>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</si>
  <si>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</si>
  <si>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</si>
  <si>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</si>
  <si>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</si>
  <si>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</si>
  <si>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</si>
  <si>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</si>
  <si>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</si>
  <si>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</si>
  <si>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</si>
  <si>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</si>
  <si>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</si>
  <si>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</si>
  <si>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</si>
  <si>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</si>
  <si>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</si>
  <si>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</si>
  <si>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</si>
  <si>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</si>
  <si>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</si>
  <si>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</si>
  <si>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</si>
  <si>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</si>
  <si>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</si>
  <si>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</si>
  <si>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</si>
  <si>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</si>
  <si>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</si>
  <si>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</si>
  <si>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</si>
  <si>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</si>
  <si>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</si>
  <si>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</si>
  <si>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</si>
  <si>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</si>
  <si>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</si>
  <si>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</si>
  <si>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</si>
  <si>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</si>
  <si>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</si>
  <si>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</si>
  <si>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</si>
  <si>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</si>
  <si>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</si>
  <si>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</si>
  <si>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</si>
  <si>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</si>
  <si>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</si>
  <si>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</si>
  <si>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</si>
  <si>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</si>
  <si>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</si>
  <si>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</si>
  <si>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</si>
  <si>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</si>
  <si>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</si>
  <si>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</si>
  <si>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</si>
  <si>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</si>
  <si>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</si>
  <si>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</si>
  <si>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</si>
  <si>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</si>
  <si>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</si>
  <si>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</si>
  <si>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</si>
  <si>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</si>
  <si>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</si>
  <si>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</si>
  <si>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</si>
  <si>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</si>
  <si>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</si>
  <si>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</si>
  <si>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</si>
  <si>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</si>
  <si>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</si>
  <si>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</si>
  <si>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</si>
  <si>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</si>
  <si>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</si>
  <si>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</si>
  <si>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</si>
  <si>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</si>
  <si>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</si>
  <si>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</si>
  <si>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</si>
  <si>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</si>
  <si>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</si>
  <si>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</si>
  <si>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</si>
  <si>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</si>
  <si>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</si>
  <si>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</si>
  <si>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</si>
  <si>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</si>
  <si>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</si>
  <si>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</si>
  <si>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</si>
  <si>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</si>
  <si>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</si>
  <si>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</si>
  <si>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</si>
  <si>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</si>
  <si>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</si>
  <si>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</si>
  <si>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</si>
  <si>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</si>
  <si>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</si>
  <si>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</si>
  <si>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</si>
  <si>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</si>
  <si>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</si>
  <si>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</si>
  <si>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</si>
  <si>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</si>
  <si>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</si>
  <si>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</si>
  <si>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</si>
  <si>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</si>
  <si>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</si>
  <si>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</si>
  <si>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</si>
  <si>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</si>
  <si>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</si>
  <si>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</si>
  <si>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</si>
  <si>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</si>
  <si>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</si>
  <si>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</si>
  <si>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</si>
  <si>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</si>
  <si>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</si>
  <si>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</si>
  <si>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</si>
  <si>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</si>
  <si>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</si>
  <si>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</si>
  <si>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</si>
  <si>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</si>
  <si>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</si>
  <si>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</si>
  <si>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</si>
  <si>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</si>
  <si>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</si>
  <si>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</si>
  <si>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</si>
  <si>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</si>
  <si>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</si>
  <si>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</si>
  <si>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</si>
  <si>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</si>
  <si>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</si>
  <si>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</si>
  <si>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</si>
  <si>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</si>
  <si>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</si>
  <si>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</si>
  <si>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</si>
  <si>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</si>
  <si>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</si>
  <si>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</si>
  <si>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</si>
  <si>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</si>
  <si>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</si>
  <si>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</si>
  <si>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</si>
  <si>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</si>
  <si>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</si>
  <si>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</si>
  <si>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</si>
  <si>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</si>
  <si>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</si>
  <si>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</si>
  <si>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</si>
  <si>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</si>
  <si>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</si>
  <si>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</si>
  <si>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</si>
  <si>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</si>
  <si>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</si>
  <si>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</si>
  <si>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</si>
  <si>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</si>
  <si>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</si>
  <si>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</si>
  <si>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</si>
  <si>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</si>
  <si>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</si>
  <si>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</si>
  <si>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</si>
  <si>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</si>
  <si>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</si>
  <si>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</si>
  <si>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</si>
  <si>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</si>
  <si>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</si>
  <si>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</si>
  <si>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</si>
  <si>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</si>
  <si>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</si>
  <si>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</si>
  <si>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</si>
  <si>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</si>
  <si>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</si>
  <si>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</si>
  <si>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</si>
  <si>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</si>
  <si>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</si>
  <si>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</si>
  <si>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</si>
  <si>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</si>
  <si>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</si>
  <si>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</si>
  <si>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</si>
  <si>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</si>
  <si>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</si>
  <si>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</si>
  <si>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</si>
  <si>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</si>
  <si>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</si>
  <si>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</si>
  <si>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</si>
  <si>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</si>
  <si>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</si>
  <si>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</si>
  <si>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</si>
  <si>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</si>
  <si>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</si>
  <si>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</si>
  <si>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</si>
  <si>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</si>
  <si>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</si>
  <si>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</si>
  <si>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</si>
  <si>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</si>
  <si>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</si>
  <si>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</si>
  <si>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</si>
  <si>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</si>
  <si>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</si>
  <si>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</si>
  <si>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</si>
  <si>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</si>
  <si>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</si>
  <si>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</si>
  <si>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</si>
  <si>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</si>
  <si>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</si>
  <si>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</si>
  <si>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</si>
  <si>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</si>
  <si>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</si>
  <si>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</si>
  <si>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</si>
  <si>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</si>
  <si>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</si>
  <si>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</si>
  <si>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</si>
  <si>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</si>
  <si>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</si>
  <si>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</si>
  <si>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</si>
  <si>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</si>
  <si>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</si>
  <si>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</si>
  <si>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</si>
  <si>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</si>
  <si>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</si>
  <si>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</si>
  <si>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</si>
  <si>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</si>
  <si>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</si>
  <si>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</si>
  <si>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</si>
  <si>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</si>
  <si>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</si>
  <si>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</si>
  <si>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</si>
  <si>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</si>
  <si>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</si>
  <si>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</si>
  <si>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</si>
  <si>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</si>
  <si>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</si>
  <si>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</si>
  <si>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</si>
  <si>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</si>
  <si>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</si>
  <si>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</si>
  <si>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</si>
  <si>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</si>
  <si>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</si>
  <si>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</si>
  <si>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</si>
  <si>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</si>
  <si>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</si>
  <si>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</si>
  <si>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</si>
  <si>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</si>
  <si>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</si>
  <si>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</si>
  <si>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</si>
  <si>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</si>
  <si>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</si>
  <si>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</si>
  <si>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</si>
  <si>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</si>
  <si>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</si>
  <si>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</si>
  <si>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</si>
  <si>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</si>
  <si>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</si>
  <si>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</si>
  <si>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</si>
  <si>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</si>
  <si>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</si>
  <si>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</si>
  <si>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</si>
  <si>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</si>
  <si>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</si>
  <si>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</si>
  <si>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</si>
  <si>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</si>
  <si>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</si>
  <si>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</si>
  <si>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</si>
  <si>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</si>
  <si>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</si>
  <si>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</si>
  <si>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</si>
  <si>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</si>
  <si>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</si>
  <si>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</si>
  <si>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</si>
  <si>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</si>
  <si>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</si>
  <si>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</si>
  <si>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</si>
  <si>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</si>
  <si>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</si>
  <si>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</si>
  <si>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</si>
  <si>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</si>
  <si>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</si>
  <si>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</si>
  <si>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</si>
  <si>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</si>
  <si>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</si>
  <si>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</si>
  <si>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</si>
  <si>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</si>
  <si>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</si>
  <si>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</si>
  <si>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</si>
  <si>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</si>
  <si>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</si>
  <si>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</si>
  <si>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</si>
  <si>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</si>
  <si>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</si>
  <si>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</si>
  <si>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</si>
  <si>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</si>
  <si>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</si>
  <si>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</si>
  <si>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</si>
  <si>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</si>
  <si>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</si>
  <si>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</si>
  <si>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</si>
  <si>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</si>
  <si>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</si>
  <si>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</si>
  <si>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</si>
  <si>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</si>
  <si>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</si>
  <si>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</si>
  <si>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</si>
  <si>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</si>
  <si>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</si>
  <si>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</si>
  <si>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</si>
  <si>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</si>
  <si>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</si>
  <si>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</si>
  <si>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</si>
  <si>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</si>
  <si>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</si>
  <si>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</si>
  <si>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</si>
  <si>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</si>
  <si>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</si>
  <si>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</si>
  <si>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</si>
  <si>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</si>
  <si>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</si>
  <si>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</si>
  <si>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</si>
  <si>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</si>
  <si>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</si>
  <si>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</si>
  <si>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</si>
  <si>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</si>
  <si>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</si>
  <si>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</si>
  <si>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</si>
  <si>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</si>
  <si>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</si>
  <si>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</si>
  <si>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</si>
  <si>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</si>
  <si>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</si>
  <si>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</si>
  <si>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</si>
  <si>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</si>
  <si>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</si>
  <si>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</si>
  <si>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</si>
  <si>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</si>
  <si>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</si>
  <si>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</si>
  <si>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</si>
  <si>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</si>
  <si>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</si>
  <si>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</si>
  <si>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</si>
  <si>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</si>
  <si>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</si>
  <si>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</si>
  <si>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</si>
  <si>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</si>
  <si>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</si>
  <si>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</si>
  <si>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</si>
  <si>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</si>
  <si>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</si>
  <si>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</si>
  <si>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</si>
  <si>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</si>
  <si>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</si>
  <si>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</si>
  <si>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</si>
  <si>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</si>
  <si>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</si>
  <si>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</si>
  <si>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</si>
  <si>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</si>
  <si>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</si>
  <si>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</si>
  <si>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</si>
  <si>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</si>
  <si>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</si>
  <si>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</si>
  <si>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</si>
  <si>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</si>
  <si>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</si>
  <si>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</si>
  <si>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</si>
  <si>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</si>
  <si>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</si>
  <si>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</si>
  <si>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</si>
  <si>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</si>
  <si>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</si>
  <si>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</si>
  <si>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</si>
  <si>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</si>
  <si>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</si>
  <si>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</si>
  <si>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</si>
  <si>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</si>
  <si>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</si>
  <si>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</si>
  <si>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</si>
  <si>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</si>
  <si>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</si>
  <si>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</si>
  <si>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</si>
  <si>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</si>
  <si>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</si>
  <si>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</si>
  <si>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</si>
  <si>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</si>
  <si>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</si>
  <si>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</si>
  <si>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</si>
  <si>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</si>
  <si>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</si>
  <si>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</si>
  <si>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</si>
  <si>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</si>
  <si>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</si>
  <si>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</si>
  <si>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</si>
  <si>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</si>
  <si>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</si>
  <si>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</si>
  <si>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</si>
  <si>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</si>
  <si>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</si>
  <si>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</si>
  <si>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</si>
  <si>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</si>
  <si>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</si>
  <si>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</si>
  <si>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</si>
  <si>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</si>
  <si>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</si>
  <si>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</si>
  <si>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</si>
  <si>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</si>
  <si>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</si>
  <si>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</si>
  <si>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</si>
  <si>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</si>
  <si>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</si>
  <si>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</si>
  <si>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</si>
  <si>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</si>
  <si>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</si>
  <si>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</si>
  <si>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</si>
  <si>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</si>
  <si>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</si>
  <si>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</si>
  <si>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</si>
  <si>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</si>
  <si>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</si>
  <si>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</si>
  <si>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</si>
  <si>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</si>
  <si>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</si>
  <si>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</si>
  <si>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</si>
  <si>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</si>
  <si>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</si>
  <si>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</si>
  <si>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</si>
  <si>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</si>
  <si>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</si>
  <si>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</si>
  <si>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</si>
  <si>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</si>
  <si>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</si>
  <si>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</si>
  <si>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</si>
  <si>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</si>
  <si>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</si>
  <si>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</si>
  <si>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</si>
  <si>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</si>
  <si>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</si>
  <si>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</si>
  <si>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</si>
  <si>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</si>
  <si>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</si>
  <si>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</si>
  <si>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</si>
  <si>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</si>
  <si>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</si>
  <si>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</si>
  <si>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</si>
  <si>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</si>
  <si>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</si>
  <si>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</si>
  <si>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</si>
  <si>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</si>
  <si>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</si>
  <si>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</si>
  <si>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</si>
  <si>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</si>
  <si>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</si>
  <si>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</si>
  <si>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</si>
  <si>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</si>
  <si>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</si>
  <si>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</si>
  <si>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</si>
  <si>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</si>
  <si>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</si>
  <si>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</si>
  <si>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</si>
  <si>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</si>
  <si>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</si>
  <si>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</si>
  <si>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</si>
  <si>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</si>
  <si>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</si>
  <si>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</si>
  <si>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</si>
  <si>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</si>
  <si>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</si>
  <si>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</si>
  <si>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</si>
  <si>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</si>
  <si>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</si>
  <si>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</si>
  <si>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</si>
  <si>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</si>
  <si>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</si>
  <si>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</si>
  <si>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</si>
  <si>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</si>
  <si>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</si>
  <si>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</si>
  <si>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</si>
  <si>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</si>
  <si>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</si>
  <si>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</si>
  <si>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</si>
  <si>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</si>
  <si>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</si>
  <si>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</si>
  <si>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</si>
  <si>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</si>
  <si>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</si>
  <si>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</si>
  <si>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</si>
  <si>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</si>
  <si>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</si>
  <si>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</si>
  <si>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</si>
  <si>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</si>
  <si>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</si>
  <si>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</si>
  <si>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</si>
  <si>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</si>
  <si>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</si>
  <si>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</si>
  <si>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</si>
  <si>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</si>
  <si>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</si>
  <si>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</si>
  <si>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</si>
  <si>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</si>
  <si>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</si>
  <si>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</si>
  <si>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</si>
  <si>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</si>
  <si>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</si>
  <si>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</si>
  <si>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</si>
  <si>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</si>
  <si>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</si>
  <si>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</si>
  <si>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</si>
  <si>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</si>
  <si>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</si>
  <si>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</si>
  <si>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</si>
  <si>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</si>
  <si>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</si>
  <si>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</si>
  <si>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</si>
  <si>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</si>
  <si>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</si>
  <si>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</si>
  <si>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</si>
  <si>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</si>
  <si>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</si>
  <si>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</si>
  <si>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</si>
  <si>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</si>
  <si>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</si>
  <si>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</si>
  <si>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</si>
  <si>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</si>
  <si>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</si>
  <si>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</si>
  <si>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</si>
  <si>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</si>
  <si>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</si>
  <si>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</si>
  <si>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>Бланка версия 2.01 от 2017г.</t>
  </si>
  <si>
    <t xml:space="preserve">КФ - ОП "ОКОЛНА СРЕДА" </t>
  </si>
  <si>
    <t xml:space="preserve">ЕФРР - ОП "ОКОЛНА СРЕДА" </t>
  </si>
  <si>
    <t>b744</t>
  </si>
  <si>
    <t>d622</t>
  </si>
  <si>
    <t>c922</t>
  </si>
  <si>
    <t>000892670</t>
  </si>
  <si>
    <t>ОУ "Христо Ботев" с.Левка проект BG05M2OP001-2.004-0004 "Твоят час"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</si>
</sst>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ОУ "Христо Ботев" с.Левка проект BG05M2OP001-2.004-0004 "Твоят час"</v>
      </c>
      <c r="C2" s="1734"/>
      <c r="D2" s="1735"/>
      <c r="E2" s="1021"/>
      <c r="F2" s="1022">
        <f>+OTCHET!H9</f>
        <v>0</v>
      </c>
      <c r="G2" s="1023" t="str">
        <f>+OTCHET!F12</f>
        <v>000892670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1019</v>
      </c>
      <c r="O6" s="1010"/>
      <c r="P6" s="1047">
        <f>OTCHET!F9</f>
        <v>43100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11731</v>
      </c>
      <c r="J50" s="1104">
        <f>+IF(OR($P$2=98,$P$2=42,$P$2=96,$P$2=97),$Q50,0)</f>
        <v>5051</v>
      </c>
      <c r="K50" s="1097"/>
      <c r="L50" s="1104">
        <f>+IF($P$2=33,$Q50,0)</f>
        <v>0</v>
      </c>
      <c r="M50" s="1097"/>
      <c r="N50" s="1134">
        <f>+ROUND(+G50+J50+L50,0)</f>
        <v>5051</v>
      </c>
      <c r="O50" s="1099"/>
      <c r="P50" s="1103">
        <f>+ROUND(OTCHET!E204-SUM(OTCHET!E216:E218)+OTCHET!E271+IF(+OR(OTCHET!$F$12=5500,OTCHET!$F$12=5600),0,+OTCHET!E297),0)</f>
        <v>11731</v>
      </c>
      <c r="Q50" s="1104">
        <f>+ROUND(OTCHET!L204-SUM(OTCHET!L216:L218)+OTCHET!L271+IF(+OR(OTCHET!$F$12=5500,OTCHET!$F$12=5600),0,+OTCHET!L297),0)</f>
        <v>5051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8190</v>
      </c>
      <c r="J53" s="1122">
        <f>+IF(OR($P$2=98,$P$2=42,$P$2=96,$P$2=97),$Q53,0)</f>
        <v>7298</v>
      </c>
      <c r="K53" s="1097"/>
      <c r="L53" s="1122">
        <f>+IF($P$2=33,$Q53,0)</f>
        <v>0</v>
      </c>
      <c r="M53" s="1097"/>
      <c r="N53" s="1123">
        <f>+ROUND(+G53+J53+L53,0)</f>
        <v>7298</v>
      </c>
      <c r="O53" s="1099"/>
      <c r="P53" s="1121">
        <f>+ROUND(OTCHET!E186+OTCHET!E189,0)</f>
        <v>8190</v>
      </c>
      <c r="Q53" s="1122">
        <f>+ROUND(OTCHET!L186+OTCHET!L189,0)</f>
        <v>7298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1867</v>
      </c>
      <c r="J54" s="1122">
        <f>+IF(OR($P$2=98,$P$2=42,$P$2=96,$P$2=97),$Q54,0)</f>
        <v>1619</v>
      </c>
      <c r="K54" s="1097"/>
      <c r="L54" s="1122">
        <f>+IF($P$2=33,$Q54,0)</f>
        <v>0</v>
      </c>
      <c r="M54" s="1097"/>
      <c r="N54" s="1123">
        <f>+ROUND(+G54+J54+L54,0)</f>
        <v>1619</v>
      </c>
      <c r="O54" s="1099"/>
      <c r="P54" s="1121">
        <f>+ROUND(OTCHET!E195+OTCHET!E203,0)</f>
        <v>1867</v>
      </c>
      <c r="Q54" s="1122">
        <f>+ROUND(OTCHET!L195+OTCHET!L203,0)</f>
        <v>1619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21788</v>
      </c>
      <c r="J55" s="1210">
        <f>+ROUND(+SUM(J50:J54),0)</f>
        <v>13968</v>
      </c>
      <c r="K55" s="1097"/>
      <c r="L55" s="1210">
        <f>+ROUND(+SUM(L50:L54),0)</f>
        <v>0</v>
      </c>
      <c r="M55" s="1097"/>
      <c r="N55" s="1211">
        <f>+ROUND(+SUM(N50:N54),0)</f>
        <v>13968</v>
      </c>
      <c r="O55" s="1099"/>
      <c r="P55" s="1209">
        <f>+ROUND(+SUM(P50:P54),0)</f>
        <v>21788</v>
      </c>
      <c r="Q55" s="1210">
        <f>+ROUND(+SUM(Q50:Q54),0)</f>
        <v>13968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21788</v>
      </c>
      <c r="J76" s="1235">
        <f>+ROUND(J55+J62+J66+J70+J74,0)</f>
        <v>13968</v>
      </c>
      <c r="K76" s="1097"/>
      <c r="L76" s="1235">
        <f>+ROUND(L55+L62+L66+L70+L74,0)</f>
        <v>0</v>
      </c>
      <c r="M76" s="1097"/>
      <c r="N76" s="1236">
        <f>+ROUND(N55+N62+N66+N70+N74,0)</f>
        <v>13968</v>
      </c>
      <c r="O76" s="1099"/>
      <c r="P76" s="1233">
        <f>+ROUND(P55+P62+P66+P70+P74,0)</f>
        <v>21788</v>
      </c>
      <c r="Q76" s="1234">
        <f>+ROUND(Q55+Q62+Q66+Q70+Q74,0)</f>
        <v>13968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16760</v>
      </c>
      <c r="J78" s="1110">
        <f>+IF(OR($P$2=98,$P$2=42,$P$2=96,$P$2=97),$Q78,0)</f>
        <v>12423</v>
      </c>
      <c r="K78" s="1097"/>
      <c r="L78" s="1110">
        <f>+IF($P$2=33,$Q78,0)</f>
        <v>0</v>
      </c>
      <c r="M78" s="1097"/>
      <c r="N78" s="1111">
        <f>+ROUND(+G78+J78+L78,0)</f>
        <v>12423</v>
      </c>
      <c r="O78" s="1099"/>
      <c r="P78" s="1109">
        <f>+ROUND(OTCHET!E415,0)</f>
        <v>16760</v>
      </c>
      <c r="Q78" s="1110">
        <f>+ROUND(OTCHET!L415,0)</f>
        <v>12423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16760</v>
      </c>
      <c r="J80" s="1244">
        <f>+ROUND(J78+J79,0)</f>
        <v>12423</v>
      </c>
      <c r="K80" s="1097"/>
      <c r="L80" s="1244">
        <f>+ROUND(L78+L79,0)</f>
        <v>0</v>
      </c>
      <c r="M80" s="1097"/>
      <c r="N80" s="1245">
        <f>+ROUND(N78+N79,0)</f>
        <v>12423</v>
      </c>
      <c r="O80" s="1099"/>
      <c r="P80" s="1243">
        <f>+ROUND(P78+P79,0)</f>
        <v>16760</v>
      </c>
      <c r="Q80" s="1244">
        <f>+ROUND(Q78+Q79,0)</f>
        <v>12423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-5028</v>
      </c>
      <c r="J82" s="1257">
        <f>+ROUND(J47,0)-ROUND(J76,0)+ROUND(J80,0)</f>
        <v>-1545</v>
      </c>
      <c r="K82" s="1097"/>
      <c r="L82" s="1257">
        <f>+ROUND(L47,0)-ROUND(L76,0)+ROUND(L80,0)</f>
        <v>0</v>
      </c>
      <c r="M82" s="1097"/>
      <c r="N82" s="1258">
        <f>+ROUND(N47,0)-ROUND(N76,0)+ROUND(N80,0)</f>
        <v>-1545</v>
      </c>
      <c r="O82" s="1259"/>
      <c r="P82" s="1256">
        <f>+ROUND(P47,0)-ROUND(P76,0)+ROUND(P80,0)</f>
        <v>-5028</v>
      </c>
      <c r="Q82" s="1257">
        <f>+ROUND(Q47,0)-ROUND(Q76,0)+ROUND(Q80,0)</f>
        <v>-1545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5028</v>
      </c>
      <c r="J83" s="1265">
        <f>+ROUND(J100,0)+ROUND(J119,0)+ROUND(J125,0)-ROUND(J130,0)</f>
        <v>1545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1545</v>
      </c>
      <c r="O83" s="1259"/>
      <c r="P83" s="1264">
        <f>+ROUND(P100,0)+ROUND(P119,0)+ROUND(P125,0)-ROUND(P130,0)</f>
        <v>5028</v>
      </c>
      <c r="Q83" s="1265">
        <f>+ROUND(Q100,0)+ROUND(Q119,0)+ROUND(Q125,0)-ROUND(Q130,0)</f>
        <v>1545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5028</v>
      </c>
      <c r="J122" s="1122">
        <f>+IF(OR($P$2=98,$P$2=42,$P$2=96,$P$2=97),$Q122,0)</f>
        <v>1545</v>
      </c>
      <c r="K122" s="1097"/>
      <c r="L122" s="1122">
        <f>+IF($P$2=33,$Q122,0)</f>
        <v>0</v>
      </c>
      <c r="M122" s="1097"/>
      <c r="N122" s="1123">
        <f>+ROUND(+G122+J122+L122,0)</f>
        <v>1545</v>
      </c>
      <c r="O122" s="1099"/>
      <c r="P122" s="1121">
        <f>+ROUND(OTCHET!E520,0)</f>
        <v>5028</v>
      </c>
      <c r="Q122" s="1122">
        <f>+ROUND(OTCHET!L520,0)</f>
        <v>1545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5028</v>
      </c>
      <c r="J125" s="1244">
        <f>+ROUND(+SUM(J121:J124),0)</f>
        <v>1545</v>
      </c>
      <c r="K125" s="1097"/>
      <c r="L125" s="1244">
        <f>+ROUND(+SUM(L121:L124),0)</f>
        <v>0</v>
      </c>
      <c r="M125" s="1097"/>
      <c r="N125" s="1245">
        <f>+ROUND(+SUM(N121:N124),0)</f>
        <v>1545</v>
      </c>
      <c r="O125" s="1099"/>
      <c r="P125" s="1243">
        <f>+ROUND(+SUM(P121:P124),0)</f>
        <v>5028</v>
      </c>
      <c r="Q125" s="1244">
        <f>+ROUND(+SUM(Q121:Q124),0)</f>
        <v>1545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7" operator="notEqual" stopIfTrue="1">
      <formula>0</formula>
    </cfRule>
  </conditionalFormatting>
  <conditionalFormatting sqref="B131">
    <cfRule type="cellIs" priority="46" dxfId="138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6" operator="notEqual" stopIfTrue="1">
      <formula>0</formula>
    </cfRule>
    <cfRule type="cellIs" priority="7" dxfId="140" operator="equal" stopIfTrue="1">
      <formula>0</formula>
    </cfRule>
    <cfRule type="cellIs" priority="8" dxfId="141" operator="equal" stopIfTrue="1">
      <formula>0</formula>
    </cfRule>
    <cfRule type="cellIs" priority="45" dxfId="142" operator="equal">
      <formula>0</formula>
    </cfRule>
  </conditionalFormatting>
  <conditionalFormatting sqref="I2">
    <cfRule type="cellIs" priority="44" dxfId="142" operator="equal">
      <formula>0</formula>
    </cfRule>
  </conditionalFormatting>
  <conditionalFormatting sqref="F135:G136">
    <cfRule type="cellIs" priority="42" dxfId="143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43" operator="equal" stopIfTrue="1">
      <formula>"НЕРАВНЕНИЕ!"</formula>
    </cfRule>
  </conditionalFormatting>
  <conditionalFormatting sqref="L135:M136">
    <cfRule type="cellIs" priority="40" dxfId="143" operator="equal" stopIfTrue="1">
      <formula>"НЕРАВНЕНИЕ!"</formula>
    </cfRule>
  </conditionalFormatting>
  <conditionalFormatting sqref="F138:G139">
    <cfRule type="cellIs" priority="38" dxfId="143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43" operator="equal" stopIfTrue="1">
      <formula>"НЕРАВНЕНИЕ !"</formula>
    </cfRule>
  </conditionalFormatting>
  <conditionalFormatting sqref="L138:M139">
    <cfRule type="cellIs" priority="36" dxfId="143" operator="equal" stopIfTrue="1">
      <formula>"НЕРАВНЕНИЕ !"</formula>
    </cfRule>
  </conditionalFormatting>
  <conditionalFormatting sqref="I138:J139 L138:L139 N138:N139 F138:G139">
    <cfRule type="cellIs" priority="35" dxfId="143" operator="notEqual">
      <formula>0</formula>
    </cfRule>
  </conditionalFormatting>
  <conditionalFormatting sqref="I131:J131">
    <cfRule type="cellIs" priority="33" dxfId="137" operator="notEqual" stopIfTrue="1">
      <formula>0</formula>
    </cfRule>
  </conditionalFormatting>
  <conditionalFormatting sqref="L81">
    <cfRule type="cellIs" priority="28" dxfId="137" operator="notEqual" stopIfTrue="1">
      <formula>0</formula>
    </cfRule>
  </conditionalFormatting>
  <conditionalFormatting sqref="N81">
    <cfRule type="cellIs" priority="27" dxfId="137" operator="notEqual" stopIfTrue="1">
      <formula>0</formula>
    </cfRule>
  </conditionalFormatting>
  <conditionalFormatting sqref="L131">
    <cfRule type="cellIs" priority="32" dxfId="137" operator="notEqual" stopIfTrue="1">
      <formula>0</formula>
    </cfRule>
  </conditionalFormatting>
  <conditionalFormatting sqref="N131">
    <cfRule type="cellIs" priority="31" dxfId="137" operator="notEqual" stopIfTrue="1">
      <formula>0</formula>
    </cfRule>
  </conditionalFormatting>
  <conditionalFormatting sqref="F81:H81">
    <cfRule type="cellIs" priority="30" dxfId="137" operator="notEqual" stopIfTrue="1">
      <formula>0</formula>
    </cfRule>
  </conditionalFormatting>
  <conditionalFormatting sqref="I81:J81">
    <cfRule type="cellIs" priority="29" dxfId="137" operator="notEqual" stopIfTrue="1">
      <formula>0</formula>
    </cfRule>
  </conditionalFormatting>
  <conditionalFormatting sqref="B81">
    <cfRule type="cellIs" priority="25" dxfId="140" operator="equal">
      <formula>0</formula>
    </cfRule>
    <cfRule type="cellIs" priority="26" dxfId="138" operator="notEqual" stopIfTrue="1">
      <formula>0</formula>
    </cfRule>
  </conditionalFormatting>
  <conditionalFormatting sqref="P131:Q131">
    <cfRule type="cellIs" priority="24" dxfId="137" operator="notEqual" stopIfTrue="1">
      <formula>0</formula>
    </cfRule>
  </conditionalFormatting>
  <conditionalFormatting sqref="P135:Q136">
    <cfRule type="cellIs" priority="22" dxfId="143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43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43" operator="notEqual">
      <formula>0</formula>
    </cfRule>
  </conditionalFormatting>
  <conditionalFormatting sqref="P2">
    <cfRule type="cellIs" priority="14" dxfId="144" operator="equal" stopIfTrue="1">
      <formula>98</formula>
    </cfRule>
    <cfRule type="cellIs" priority="15" dxfId="145" operator="equal" stopIfTrue="1">
      <formula>96</formula>
    </cfRule>
    <cfRule type="cellIs" priority="16" dxfId="146" operator="equal" stopIfTrue="1">
      <formula>42</formula>
    </cfRule>
    <cfRule type="cellIs" priority="17" dxfId="147" operator="equal" stopIfTrue="1">
      <formula>97</formula>
    </cfRule>
    <cfRule type="cellIs" priority="18" dxfId="148" operator="equal" stopIfTrue="1">
      <formula>33</formula>
    </cfRule>
  </conditionalFormatting>
  <conditionalFormatting sqref="Q2">
    <cfRule type="cellIs" priority="9" dxfId="148" operator="equal" stopIfTrue="1">
      <formula>"Чужди средства"</formula>
    </cfRule>
    <cfRule type="cellIs" priority="10" dxfId="147" operator="equal" stopIfTrue="1">
      <formula>"СЕС - ДМП"</formula>
    </cfRule>
    <cfRule type="cellIs" priority="11" dxfId="146" operator="equal" stopIfTrue="1">
      <formula>"СЕС - РА"</formula>
    </cfRule>
    <cfRule type="cellIs" priority="12" dxfId="145" operator="equal" stopIfTrue="1">
      <formula>"СЕС - ДЕС"</formula>
    </cfRule>
    <cfRule type="cellIs" priority="13" dxfId="144" operator="equal" stopIfTrue="1">
      <formula>"СЕС - КСФ"</formula>
    </cfRule>
  </conditionalFormatting>
  <conditionalFormatting sqref="P81:Q81">
    <cfRule type="cellIs" priority="5" dxfId="137" operator="notEqual" stopIfTrue="1">
      <formula>0</formula>
    </cfRule>
  </conditionalFormatting>
  <conditionalFormatting sqref="T2:U2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ОУ "Христо Ботев" с.Левка проект BG05M2OP001-2.004-0004 "Твоят час"</v>
      </c>
      <c r="C11" s="706"/>
      <c r="D11" s="706"/>
      <c r="E11" s="707" t="s">
        <v>990</v>
      </c>
      <c r="F11" s="708">
        <f>OTCHET!F9</f>
        <v>43100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000892670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21788</v>
      </c>
      <c r="F38" s="848">
        <f>SUM(F39:F53)-F44-F46-F51-F52</f>
        <v>13968</v>
      </c>
      <c r="G38" s="849">
        <f>SUM(G39:G53)-G44-G46-G51-G52</f>
        <v>13968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8190</v>
      </c>
      <c r="F39" s="771">
        <f aca="true" t="shared" si="1" ref="F39:F53">+G39+H39+I39</f>
        <v>7298</v>
      </c>
      <c r="G39" s="772">
        <f>OTCHET!I186</f>
        <v>7298</v>
      </c>
      <c r="H39" s="773">
        <f>OTCHET!J186</f>
        <v>0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1867</v>
      </c>
      <c r="F41" s="816">
        <f t="shared" si="1"/>
        <v>1619</v>
      </c>
      <c r="G41" s="817">
        <f>+OTCHET!I195+OTCHET!I203</f>
        <v>1619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11731</v>
      </c>
      <c r="F42" s="816">
        <f t="shared" si="1"/>
        <v>5051</v>
      </c>
      <c r="G42" s="817">
        <f>+OTCHET!I204+OTCHET!I222+OTCHET!I271</f>
        <v>5051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16760</v>
      </c>
      <c r="F54" s="894">
        <f>+F55+F56+F60</f>
        <v>12423</v>
      </c>
      <c r="G54" s="895">
        <f>+G55+G56+G60</f>
        <v>12423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16760</v>
      </c>
      <c r="F56" s="903">
        <f t="shared" si="2"/>
        <v>12423</v>
      </c>
      <c r="G56" s="904">
        <f>+OTCHET!I379+OTCHET!I387+OTCHET!I392+OTCHET!I395+OTCHET!I398+OTCHET!I401+OTCHET!I402+OTCHET!I405+OTCHET!I418+OTCHET!I419+OTCHET!I420+OTCHET!I421+OTCHET!I422</f>
        <v>12423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-5028</v>
      </c>
      <c r="F62" s="929">
        <f>+F22-F38+F54-F61</f>
        <v>-1545</v>
      </c>
      <c r="G62" s="930">
        <f>+G22-G38+G54-G61</f>
        <v>-1545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5028</v>
      </c>
      <c r="F64" s="939">
        <f>SUM(+F66+F74+F75+F82+F83+F84+F87+F88+F89+F90+F91+F92+F93)</f>
        <v>1545</v>
      </c>
      <c r="G64" s="940">
        <f>SUM(+G66+G74+G75+G82+G83+G84+G87+G88+G89+G90+G91+G92+G93)</f>
        <v>1545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5028</v>
      </c>
      <c r="F84" s="907">
        <f>+F85+F86</f>
        <v>1545</v>
      </c>
      <c r="G84" s="908">
        <f>+G85+G86</f>
        <v>1545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5028</v>
      </c>
      <c r="F86" s="965">
        <f t="shared" si="5"/>
        <v>1545</v>
      </c>
      <c r="G86" s="966">
        <f>+OTCHET!I517+OTCHET!I520+OTCHET!I540</f>
        <v>1545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7" operator="notEqual" stopIfTrue="1">
      <formula>0</formula>
    </cfRule>
  </conditionalFormatting>
  <conditionalFormatting sqref="E103:I103">
    <cfRule type="cellIs" priority="19" dxfId="137" operator="notEqual" stopIfTrue="1">
      <formula>0</formula>
    </cfRule>
  </conditionalFormatting>
  <conditionalFormatting sqref="G105:H105 B105">
    <cfRule type="cellIs" priority="18" dxfId="153" operator="equal" stopIfTrue="1">
      <formula>0</formula>
    </cfRule>
  </conditionalFormatting>
  <conditionalFormatting sqref="I112 E108">
    <cfRule type="cellIs" priority="17" dxfId="141" operator="equal" stopIfTrue="1">
      <formula>0</formula>
    </cfRule>
  </conditionalFormatting>
  <conditionalFormatting sqref="E112:F112">
    <cfRule type="cellIs" priority="16" dxfId="141" operator="equal" stopIfTrue="1">
      <formula>0</formula>
    </cfRule>
  </conditionalFormatting>
  <conditionalFormatting sqref="E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B103">
    <cfRule type="cellIs" priority="5" dxfId="138" operator="notEqual" stopIfTrue="1">
      <formula>0</formula>
    </cfRule>
  </conditionalFormatting>
  <conditionalFormatting sqref="I11">
    <cfRule type="cellIs" priority="1" dxfId="149" operator="between" stopIfTrue="1">
      <formula>1000000000000</formula>
      <formula>9999999999999990</formula>
    </cfRule>
    <cfRule type="cellIs" priority="2" dxfId="150" operator="between" stopIfTrue="1">
      <formula>10000000000</formula>
      <formula>999999999999</formula>
    </cfRule>
    <cfRule type="cellIs" priority="3" dxfId="151" operator="between" stopIfTrue="1">
      <formula>1000000</formula>
      <formula>99999999</formula>
    </cfRule>
    <cfRule type="cellIs" priority="4" dxfId="152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6" sqref="D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КСФ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43100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декември</v>
      </c>
      <c r="G10" s="113"/>
      <c r="H10" s="114"/>
      <c r="I10" s="1795" t="s">
        <v>989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e">
        <f>VLOOKUP(F12,PRBK,2,FALSE)</f>
        <v>#N/A</v>
      </c>
      <c r="C12" s="1821"/>
      <c r="D12" s="1822"/>
      <c r="E12" s="118" t="s">
        <v>983</v>
      </c>
      <c r="F12" s="1591" t="s">
        <v>2062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77" t="s">
        <v>2042</v>
      </c>
      <c r="F19" s="1778"/>
      <c r="G19" s="1778"/>
      <c r="H19" s="1779"/>
      <c r="I19" s="1844" t="s">
        <v>2043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КСФ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ОУ "Христо Ботев" с.Левка проект BG05M2OP001-2.004-0004 "Твоят час"</v>
      </c>
      <c r="C175" s="1772"/>
      <c r="D175" s="1773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e">
        <f>$B$12</f>
        <v>#N/A</v>
      </c>
      <c r="C178" s="1821"/>
      <c r="D178" s="1822"/>
      <c r="E178" s="232" t="s">
        <v>908</v>
      </c>
      <c r="F178" s="233" t="str">
        <f>$F$12</f>
        <v>000892670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77" t="s">
        <v>2044</v>
      </c>
      <c r="F182" s="1778"/>
      <c r="G182" s="1778"/>
      <c r="H182" s="1779"/>
      <c r="I182" s="1780" t="s">
        <v>2045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761</v>
      </c>
      <c r="D186" s="1784"/>
      <c r="E186" s="274">
        <f aca="true" t="shared" si="42" ref="E186:L186">SUMIF($B$603:$B$12309,$B186,E$603:E$12309)</f>
        <v>8190</v>
      </c>
      <c r="F186" s="275">
        <f t="shared" si="42"/>
        <v>8190</v>
      </c>
      <c r="G186" s="276">
        <f t="shared" si="42"/>
        <v>0</v>
      </c>
      <c r="H186" s="277">
        <f t="shared" si="42"/>
        <v>0</v>
      </c>
      <c r="I186" s="275">
        <f t="shared" si="42"/>
        <v>7298</v>
      </c>
      <c r="J186" s="276">
        <f t="shared" si="42"/>
        <v>0</v>
      </c>
      <c r="K186" s="277">
        <f t="shared" si="42"/>
        <v>0</v>
      </c>
      <c r="L186" s="274">
        <f t="shared" si="42"/>
        <v>7298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8190</v>
      </c>
      <c r="F187" s="283">
        <f t="shared" si="44"/>
        <v>8190</v>
      </c>
      <c r="G187" s="284">
        <f t="shared" si="44"/>
        <v>0</v>
      </c>
      <c r="H187" s="285">
        <f t="shared" si="44"/>
        <v>0</v>
      </c>
      <c r="I187" s="283">
        <f t="shared" si="44"/>
        <v>7298</v>
      </c>
      <c r="J187" s="284">
        <f t="shared" si="44"/>
        <v>0</v>
      </c>
      <c r="K187" s="285">
        <f t="shared" si="44"/>
        <v>0</v>
      </c>
      <c r="L187" s="282">
        <f t="shared" si="44"/>
        <v>7298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1867</v>
      </c>
      <c r="F195" s="275">
        <f t="shared" si="47"/>
        <v>1867</v>
      </c>
      <c r="G195" s="276">
        <f t="shared" si="47"/>
        <v>0</v>
      </c>
      <c r="H195" s="277">
        <f t="shared" si="47"/>
        <v>0</v>
      </c>
      <c r="I195" s="275">
        <f t="shared" si="47"/>
        <v>1619</v>
      </c>
      <c r="J195" s="276">
        <f t="shared" si="47"/>
        <v>0</v>
      </c>
      <c r="K195" s="277">
        <f t="shared" si="47"/>
        <v>0</v>
      </c>
      <c r="L195" s="274">
        <f t="shared" si="47"/>
        <v>1619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893</v>
      </c>
      <c r="F196" s="283">
        <f t="shared" si="48"/>
        <v>893</v>
      </c>
      <c r="G196" s="284">
        <f t="shared" si="48"/>
        <v>0</v>
      </c>
      <c r="H196" s="285">
        <f t="shared" si="48"/>
        <v>0</v>
      </c>
      <c r="I196" s="283">
        <f t="shared" si="48"/>
        <v>783</v>
      </c>
      <c r="J196" s="284">
        <f t="shared" si="48"/>
        <v>0</v>
      </c>
      <c r="K196" s="285">
        <f t="shared" si="48"/>
        <v>0</v>
      </c>
      <c r="L196" s="282">
        <f t="shared" si="48"/>
        <v>783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352</v>
      </c>
      <c r="F197" s="297">
        <f t="shared" si="48"/>
        <v>352</v>
      </c>
      <c r="G197" s="298">
        <f t="shared" si="48"/>
        <v>0</v>
      </c>
      <c r="H197" s="299">
        <f t="shared" si="48"/>
        <v>0</v>
      </c>
      <c r="I197" s="297">
        <f t="shared" si="48"/>
        <v>282</v>
      </c>
      <c r="J197" s="298">
        <f t="shared" si="48"/>
        <v>0</v>
      </c>
      <c r="K197" s="299">
        <f t="shared" si="48"/>
        <v>0</v>
      </c>
      <c r="L197" s="296">
        <f t="shared" si="48"/>
        <v>282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393</v>
      </c>
      <c r="F199" s="297">
        <f t="shared" si="48"/>
        <v>393</v>
      </c>
      <c r="G199" s="298">
        <f t="shared" si="48"/>
        <v>0</v>
      </c>
      <c r="H199" s="299">
        <f t="shared" si="48"/>
        <v>0</v>
      </c>
      <c r="I199" s="297">
        <f t="shared" si="48"/>
        <v>350</v>
      </c>
      <c r="J199" s="298">
        <f t="shared" si="48"/>
        <v>0</v>
      </c>
      <c r="K199" s="299">
        <f t="shared" si="48"/>
        <v>0</v>
      </c>
      <c r="L199" s="296">
        <f t="shared" si="48"/>
        <v>350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229</v>
      </c>
      <c r="F200" s="297">
        <f t="shared" si="48"/>
        <v>229</v>
      </c>
      <c r="G200" s="298">
        <f t="shared" si="48"/>
        <v>0</v>
      </c>
      <c r="H200" s="299">
        <f t="shared" si="48"/>
        <v>0</v>
      </c>
      <c r="I200" s="297">
        <f t="shared" si="48"/>
        <v>204</v>
      </c>
      <c r="J200" s="298">
        <f t="shared" si="48"/>
        <v>0</v>
      </c>
      <c r="K200" s="299">
        <f t="shared" si="48"/>
        <v>0</v>
      </c>
      <c r="L200" s="296">
        <f t="shared" si="48"/>
        <v>204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11731</v>
      </c>
      <c r="F204" s="275">
        <f t="shared" si="49"/>
        <v>11731</v>
      </c>
      <c r="G204" s="276">
        <f t="shared" si="49"/>
        <v>0</v>
      </c>
      <c r="H204" s="277">
        <f t="shared" si="49"/>
        <v>0</v>
      </c>
      <c r="I204" s="275">
        <f t="shared" si="49"/>
        <v>5051</v>
      </c>
      <c r="J204" s="276">
        <f t="shared" si="49"/>
        <v>0</v>
      </c>
      <c r="K204" s="277">
        <f t="shared" si="49"/>
        <v>0</v>
      </c>
      <c r="L204" s="311">
        <f t="shared" si="49"/>
        <v>5051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1324</v>
      </c>
      <c r="F208" s="297">
        <f t="shared" si="50"/>
        <v>1324</v>
      </c>
      <c r="G208" s="298">
        <f t="shared" si="50"/>
        <v>0</v>
      </c>
      <c r="H208" s="299">
        <f t="shared" si="50"/>
        <v>0</v>
      </c>
      <c r="I208" s="297">
        <f t="shared" si="50"/>
        <v>1324</v>
      </c>
      <c r="J208" s="298">
        <f t="shared" si="50"/>
        <v>0</v>
      </c>
      <c r="K208" s="299">
        <f t="shared" si="50"/>
        <v>0</v>
      </c>
      <c r="L208" s="296">
        <f t="shared" si="50"/>
        <v>1324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10407</v>
      </c>
      <c r="F209" s="297">
        <f t="shared" si="50"/>
        <v>10407</v>
      </c>
      <c r="G209" s="298">
        <f t="shared" si="50"/>
        <v>0</v>
      </c>
      <c r="H209" s="299">
        <f t="shared" si="50"/>
        <v>0</v>
      </c>
      <c r="I209" s="297">
        <f t="shared" si="50"/>
        <v>3727</v>
      </c>
      <c r="J209" s="298">
        <f t="shared" si="50"/>
        <v>0</v>
      </c>
      <c r="K209" s="299">
        <f t="shared" si="50"/>
        <v>0</v>
      </c>
      <c r="L209" s="296">
        <f t="shared" si="50"/>
        <v>3727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739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1689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1686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1687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702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703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933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711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21788</v>
      </c>
      <c r="F301" s="397">
        <f t="shared" si="79"/>
        <v>21788</v>
      </c>
      <c r="G301" s="398">
        <f t="shared" si="79"/>
        <v>0</v>
      </c>
      <c r="H301" s="399">
        <f t="shared" si="79"/>
        <v>0</v>
      </c>
      <c r="I301" s="397">
        <f t="shared" si="79"/>
        <v>13968</v>
      </c>
      <c r="J301" s="398">
        <f t="shared" si="79"/>
        <v>0</v>
      </c>
      <c r="K301" s="399">
        <f t="shared" si="79"/>
        <v>0</v>
      </c>
      <c r="L301" s="396">
        <f t="shared" si="79"/>
        <v>13968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КСФ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ОУ "Христо Ботев" с.Левка проект BG05M2OP001-2.004-0004 "Твоят час"</v>
      </c>
      <c r="C346" s="1772"/>
      <c r="D346" s="1773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e">
        <f>$B$12</f>
        <v>#N/A</v>
      </c>
      <c r="C349" s="1821"/>
      <c r="D349" s="1822"/>
      <c r="E349" s="411" t="s">
        <v>908</v>
      </c>
      <c r="F349" s="233" t="str">
        <f>$F$12</f>
        <v>000892670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7" t="s">
        <v>2046</v>
      </c>
      <c r="F353" s="1848"/>
      <c r="G353" s="1848"/>
      <c r="H353" s="1849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16760</v>
      </c>
      <c r="F395" s="1623">
        <f t="shared" si="92"/>
        <v>16760</v>
      </c>
      <c r="G395" s="1654">
        <f t="shared" si="92"/>
        <v>0</v>
      </c>
      <c r="H395" s="1657">
        <f>SUM(H396:H397)</f>
        <v>0</v>
      </c>
      <c r="I395" s="1623">
        <f t="shared" si="92"/>
        <v>12423</v>
      </c>
      <c r="J395" s="1655">
        <f t="shared" si="92"/>
        <v>0</v>
      </c>
      <c r="K395" s="446">
        <f>SUM(K396:K397)</f>
        <v>0</v>
      </c>
      <c r="L395" s="1380">
        <f t="shared" si="92"/>
        <v>12423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16760</v>
      </c>
      <c r="F396" s="152">
        <v>16760</v>
      </c>
      <c r="G396" s="1647"/>
      <c r="H396" s="1618">
        <v>0</v>
      </c>
      <c r="I396" s="152">
        <v>12423</v>
      </c>
      <c r="J396" s="1647"/>
      <c r="K396" s="1653">
        <v>0</v>
      </c>
      <c r="L396" s="1381">
        <f>I396+J396+K396</f>
        <v>12423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942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697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698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716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16760</v>
      </c>
      <c r="F415" s="497">
        <f t="shared" si="98"/>
        <v>16760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12423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12423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784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721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0</v>
      </c>
      <c r="F420" s="1630"/>
      <c r="G420" s="1631"/>
      <c r="H420" s="1481">
        <v>0</v>
      </c>
      <c r="I420" s="1630">
        <v>0</v>
      </c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700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946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КСФ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ОУ "Христо Ботев" с.Левка проект BG05M2OP001-2.004-0004 "Твоят час"</v>
      </c>
      <c r="C431" s="1772"/>
      <c r="D431" s="1773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e">
        <f>$B$12</f>
        <v>#N/A</v>
      </c>
      <c r="C434" s="1821"/>
      <c r="D434" s="1822"/>
      <c r="E434" s="411" t="s">
        <v>908</v>
      </c>
      <c r="F434" s="233" t="str">
        <f>$F$12</f>
        <v>000892670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2048</v>
      </c>
      <c r="F438" s="1778"/>
      <c r="G438" s="1778"/>
      <c r="H438" s="1779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-5028</v>
      </c>
      <c r="F441" s="547">
        <f t="shared" si="103"/>
        <v>-5028</v>
      </c>
      <c r="G441" s="548">
        <f t="shared" si="103"/>
        <v>0</v>
      </c>
      <c r="H441" s="549">
        <f>+H168-H301+H415+H425</f>
        <v>0</v>
      </c>
      <c r="I441" s="547">
        <f t="shared" si="103"/>
        <v>-1545</v>
      </c>
      <c r="J441" s="548">
        <f t="shared" si="103"/>
        <v>0</v>
      </c>
      <c r="K441" s="549">
        <f t="shared" si="103"/>
        <v>0</v>
      </c>
      <c r="L441" s="550">
        <f t="shared" si="103"/>
        <v>-1545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5028</v>
      </c>
      <c r="F442" s="554">
        <f t="shared" si="104"/>
        <v>5028</v>
      </c>
      <c r="G442" s="555">
        <f t="shared" si="104"/>
        <v>0</v>
      </c>
      <c r="H442" s="556">
        <f t="shared" si="104"/>
        <v>0</v>
      </c>
      <c r="I442" s="554">
        <f t="shared" si="104"/>
        <v>1545</v>
      </c>
      <c r="J442" s="555">
        <f t="shared" si="104"/>
        <v>0</v>
      </c>
      <c r="K442" s="556">
        <f t="shared" si="104"/>
        <v>0</v>
      </c>
      <c r="L442" s="557">
        <f>+L593</f>
        <v>1545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КСФ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ОУ "Христо Ботев" с.Левка проект BG05M2OP001-2.004-0004 "Твоят час"</v>
      </c>
      <c r="C447" s="1772"/>
      <c r="D447" s="1773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e">
        <f>$B$12</f>
        <v>#N/A</v>
      </c>
      <c r="C450" s="1821"/>
      <c r="D450" s="1822"/>
      <c r="E450" s="411" t="s">
        <v>908</v>
      </c>
      <c r="F450" s="233" t="str">
        <f>$F$12</f>
        <v>000892670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41" t="s">
        <v>2050</v>
      </c>
      <c r="F454" s="1842"/>
      <c r="G454" s="1842"/>
      <c r="H454" s="1843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785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788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2024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791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798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950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955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956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957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958</v>
      </c>
      <c r="D520" s="1806"/>
      <c r="E520" s="579">
        <f aca="true" t="shared" si="125" ref="E520:L520">SUM(E521:E526)</f>
        <v>5028</v>
      </c>
      <c r="F520" s="588">
        <f t="shared" si="125"/>
        <v>5028</v>
      </c>
      <c r="G520" s="581">
        <f t="shared" si="125"/>
        <v>0</v>
      </c>
      <c r="H520" s="582">
        <f>SUM(H521:H526)</f>
        <v>0</v>
      </c>
      <c r="I520" s="588">
        <f t="shared" si="125"/>
        <v>1545</v>
      </c>
      <c r="J520" s="581">
        <f t="shared" si="125"/>
        <v>0</v>
      </c>
      <c r="K520" s="582">
        <f t="shared" si="125"/>
        <v>0</v>
      </c>
      <c r="L520" s="579">
        <f t="shared" si="125"/>
        <v>1545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5028</v>
      </c>
      <c r="F523" s="158">
        <v>5028</v>
      </c>
      <c r="G523" s="159"/>
      <c r="H523" s="586">
        <v>0</v>
      </c>
      <c r="I523" s="158">
        <v>1545</v>
      </c>
      <c r="J523" s="159"/>
      <c r="K523" s="586">
        <v>0</v>
      </c>
      <c r="L523" s="1389">
        <f t="shared" si="121"/>
        <v>1545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960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961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962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963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972</v>
      </c>
      <c r="D562" s="1817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977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850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5028</v>
      </c>
      <c r="F593" s="664">
        <f t="shared" si="138"/>
        <v>5028</v>
      </c>
      <c r="G593" s="665">
        <f t="shared" si="138"/>
        <v>0</v>
      </c>
      <c r="H593" s="666">
        <f t="shared" si="138"/>
        <v>0</v>
      </c>
      <c r="I593" s="664">
        <f t="shared" si="138"/>
        <v>1545</v>
      </c>
      <c r="J593" s="665">
        <f t="shared" si="138"/>
        <v>0</v>
      </c>
      <c r="K593" s="667">
        <f t="shared" si="138"/>
        <v>0</v>
      </c>
      <c r="L593" s="663">
        <f t="shared" si="138"/>
        <v>1545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99"/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895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802"/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898</v>
      </c>
      <c r="C600" s="1786"/>
      <c r="D600" s="673" t="s">
        <v>899</v>
      </c>
      <c r="E600" s="674"/>
      <c r="F600" s="675"/>
      <c r="G600" s="1787" t="s">
        <v>895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/>
      <c r="C601" s="1789"/>
      <c r="D601" s="676" t="s">
        <v>900</v>
      </c>
      <c r="E601" s="677"/>
      <c r="F601" s="678"/>
      <c r="G601" s="679" t="s">
        <v>901</v>
      </c>
      <c r="H601" s="1790"/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КСФ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ОУ "Христо Ботев" с.Левка проект BG05M2OP001-2.004-0004 "Твоят час"</v>
      </c>
      <c r="C610" s="1772"/>
      <c r="D610" s="1773"/>
      <c r="E610" s="115">
        <f>$E$9</f>
        <v>42736</v>
      </c>
      <c r="F610" s="227">
        <f>$F$9</f>
        <v>43100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e">
        <f>$B$12</f>
        <v>#N/A</v>
      </c>
      <c r="C613" s="1775"/>
      <c r="D613" s="1776"/>
      <c r="E613" s="411" t="s">
        <v>908</v>
      </c>
      <c r="F613" s="1362" t="str">
        <f>$F$12</f>
        <v>000892670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77" t="s">
        <v>2054</v>
      </c>
      <c r="F617" s="1778"/>
      <c r="G617" s="1778"/>
      <c r="H617" s="1779"/>
      <c r="I617" s="1780" t="s">
        <v>2055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>
        <f>VLOOKUP(D620,OP_LIST2,2,FALSE)</f>
        <v>0</v>
      </c>
      <c r="D620" s="1458" t="s">
        <v>657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761</v>
      </c>
      <c r="D624" s="1784"/>
      <c r="E624" s="274">
        <f aca="true" t="shared" si="139" ref="E624:L624">SUM(E625:E626)</f>
        <v>8190</v>
      </c>
      <c r="F624" s="275">
        <f t="shared" si="139"/>
        <v>8190</v>
      </c>
      <c r="G624" s="276">
        <f t="shared" si="139"/>
        <v>0</v>
      </c>
      <c r="H624" s="277">
        <f>SUM(H625:H626)</f>
        <v>0</v>
      </c>
      <c r="I624" s="275">
        <f t="shared" si="139"/>
        <v>7298</v>
      </c>
      <c r="J624" s="276">
        <f t="shared" si="139"/>
        <v>0</v>
      </c>
      <c r="K624" s="277">
        <f t="shared" si="139"/>
        <v>0</v>
      </c>
      <c r="L624" s="274">
        <f t="shared" si="139"/>
        <v>7298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8190</v>
      </c>
      <c r="F625" s="152">
        <v>8190</v>
      </c>
      <c r="G625" s="153"/>
      <c r="H625" s="1421"/>
      <c r="I625" s="152">
        <v>7298</v>
      </c>
      <c r="J625" s="153"/>
      <c r="K625" s="1421"/>
      <c r="L625" s="282">
        <f>I625+J625+K625</f>
        <v>7298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1867</v>
      </c>
      <c r="F633" s="275">
        <f t="shared" si="142"/>
        <v>1867</v>
      </c>
      <c r="G633" s="276">
        <f t="shared" si="142"/>
        <v>0</v>
      </c>
      <c r="H633" s="277">
        <f>SUM(H634:H640)</f>
        <v>0</v>
      </c>
      <c r="I633" s="275">
        <f t="shared" si="142"/>
        <v>1619</v>
      </c>
      <c r="J633" s="276">
        <f t="shared" si="142"/>
        <v>0</v>
      </c>
      <c r="K633" s="277">
        <f t="shared" si="142"/>
        <v>0</v>
      </c>
      <c r="L633" s="274">
        <f t="shared" si="142"/>
        <v>1619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893</v>
      </c>
      <c r="F634" s="152">
        <v>893</v>
      </c>
      <c r="G634" s="153"/>
      <c r="H634" s="1421"/>
      <c r="I634" s="152">
        <v>783</v>
      </c>
      <c r="J634" s="153"/>
      <c r="K634" s="1421"/>
      <c r="L634" s="282">
        <f aca="true" t="shared" si="144" ref="L634:L641">I634+J634+K634</f>
        <v>783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352</v>
      </c>
      <c r="F635" s="158">
        <v>352</v>
      </c>
      <c r="G635" s="159"/>
      <c r="H635" s="1426"/>
      <c r="I635" s="158">
        <v>282</v>
      </c>
      <c r="J635" s="159"/>
      <c r="K635" s="1426"/>
      <c r="L635" s="296">
        <f t="shared" si="144"/>
        <v>282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393</v>
      </c>
      <c r="F637" s="158">
        <v>393</v>
      </c>
      <c r="G637" s="159"/>
      <c r="H637" s="1426"/>
      <c r="I637" s="158">
        <v>350</v>
      </c>
      <c r="J637" s="159"/>
      <c r="K637" s="1426"/>
      <c r="L637" s="296">
        <f t="shared" si="144"/>
        <v>350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229</v>
      </c>
      <c r="F638" s="158">
        <v>229</v>
      </c>
      <c r="G638" s="159"/>
      <c r="H638" s="1426"/>
      <c r="I638" s="158">
        <v>204</v>
      </c>
      <c r="J638" s="159"/>
      <c r="K638" s="1426"/>
      <c r="L638" s="296">
        <f t="shared" si="144"/>
        <v>204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11731</v>
      </c>
      <c r="F642" s="275">
        <f t="shared" si="145"/>
        <v>11731</v>
      </c>
      <c r="G642" s="276">
        <f t="shared" si="145"/>
        <v>0</v>
      </c>
      <c r="H642" s="277">
        <f>SUM(H643:H659)</f>
        <v>0</v>
      </c>
      <c r="I642" s="275">
        <f t="shared" si="145"/>
        <v>5051</v>
      </c>
      <c r="J642" s="276">
        <f t="shared" si="145"/>
        <v>0</v>
      </c>
      <c r="K642" s="277">
        <f t="shared" si="145"/>
        <v>0</v>
      </c>
      <c r="L642" s="311">
        <f t="shared" si="145"/>
        <v>5051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1324</v>
      </c>
      <c r="F646" s="158">
        <v>1324</v>
      </c>
      <c r="G646" s="159"/>
      <c r="H646" s="1426"/>
      <c r="I646" s="158">
        <v>1324</v>
      </c>
      <c r="J646" s="159"/>
      <c r="K646" s="1426"/>
      <c r="L646" s="296">
        <f t="shared" si="147"/>
        <v>1324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10407</v>
      </c>
      <c r="F647" s="158">
        <v>10407</v>
      </c>
      <c r="G647" s="159"/>
      <c r="H647" s="1426"/>
      <c r="I647" s="158">
        <v>3727</v>
      </c>
      <c r="J647" s="159"/>
      <c r="K647" s="1426"/>
      <c r="L647" s="296">
        <f t="shared" si="147"/>
        <v>3727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0</v>
      </c>
      <c r="F649" s="455"/>
      <c r="G649" s="456"/>
      <c r="H649" s="1434"/>
      <c r="I649" s="455"/>
      <c r="J649" s="456"/>
      <c r="K649" s="1434"/>
      <c r="L649" s="321">
        <f t="shared" si="147"/>
        <v>0</v>
      </c>
      <c r="M649" s="12">
        <f t="shared" si="140"/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739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1689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1686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1687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702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703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933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711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711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21788</v>
      </c>
      <c r="F740" s="397">
        <f t="shared" si="173"/>
        <v>21788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13968</v>
      </c>
      <c r="J740" s="398">
        <f t="shared" si="173"/>
        <v>0</v>
      </c>
      <c r="K740" s="399">
        <f t="shared" si="173"/>
        <v>0</v>
      </c>
      <c r="L740" s="396">
        <f t="shared" si="173"/>
        <v>13968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7" dxfId="138" operator="notEqual" stopIfTrue="1">
      <formula>0</formula>
    </cfRule>
  </conditionalFormatting>
  <conditionalFormatting sqref="D594">
    <cfRule type="cellIs" priority="106" dxfId="138" operator="notEqual" stopIfTrue="1">
      <formula>0</formula>
    </cfRule>
  </conditionalFormatting>
  <conditionalFormatting sqref="E15">
    <cfRule type="cellIs" priority="100" dxfId="144" operator="equal" stopIfTrue="1">
      <formula>98</formula>
    </cfRule>
    <cfRule type="cellIs" priority="102" dxfId="145" operator="equal" stopIfTrue="1">
      <formula>96</formula>
    </cfRule>
    <cfRule type="cellIs" priority="103" dxfId="146" operator="equal" stopIfTrue="1">
      <formula>42</formula>
    </cfRule>
    <cfRule type="cellIs" priority="104" dxfId="147" operator="equal" stopIfTrue="1">
      <formula>97</formula>
    </cfRule>
    <cfRule type="cellIs" priority="105" dxfId="148" operator="equal" stopIfTrue="1">
      <formula>33</formula>
    </cfRule>
  </conditionalFormatting>
  <conditionalFormatting sqref="F15">
    <cfRule type="cellIs" priority="96" dxfId="148" operator="equal" stopIfTrue="1">
      <formula>"ЧУЖДИ СРЕДСТВА"</formula>
    </cfRule>
    <cfRule type="cellIs" priority="97" dxfId="147" operator="equal" stopIfTrue="1">
      <formula>"СЕС - ДМП"</formula>
    </cfRule>
    <cfRule type="cellIs" priority="98" dxfId="146" operator="equal" stopIfTrue="1">
      <formula>"СЕС - РА"</formula>
    </cfRule>
    <cfRule type="cellIs" priority="99" dxfId="145" operator="equal" stopIfTrue="1">
      <formula>"СЕС - ДЕС"</formula>
    </cfRule>
    <cfRule type="cellIs" priority="101" dxfId="144" operator="equal" stopIfTrue="1">
      <formula>"СЕС - КСФ"</formula>
    </cfRule>
  </conditionalFormatting>
  <conditionalFormatting sqref="F178">
    <cfRule type="cellIs" priority="84" dxfId="154" operator="equal" stopIfTrue="1">
      <formula>0</formula>
    </cfRule>
  </conditionalFormatting>
  <conditionalFormatting sqref="E180">
    <cfRule type="cellIs" priority="79" dxfId="144" operator="equal" stopIfTrue="1">
      <formula>98</formula>
    </cfRule>
    <cfRule type="cellIs" priority="80" dxfId="145" operator="equal" stopIfTrue="1">
      <formula>96</formula>
    </cfRule>
    <cfRule type="cellIs" priority="81" dxfId="146" operator="equal" stopIfTrue="1">
      <formula>42</formula>
    </cfRule>
    <cfRule type="cellIs" priority="82" dxfId="147" operator="equal" stopIfTrue="1">
      <formula>97</formula>
    </cfRule>
    <cfRule type="cellIs" priority="83" dxfId="148" operator="equal" stopIfTrue="1">
      <formula>33</formula>
    </cfRule>
  </conditionalFormatting>
  <conditionalFormatting sqref="F180">
    <cfRule type="cellIs" priority="74" dxfId="148" operator="equal" stopIfTrue="1">
      <formula>"ЧУЖДИ СРЕДСТВА"</formula>
    </cfRule>
    <cfRule type="cellIs" priority="75" dxfId="147" operator="equal" stopIfTrue="1">
      <formula>"СЕС - ДМП"</formula>
    </cfRule>
    <cfRule type="cellIs" priority="76" dxfId="146" operator="equal" stopIfTrue="1">
      <formula>"СЕС - РА"</formula>
    </cfRule>
    <cfRule type="cellIs" priority="77" dxfId="145" operator="equal" stopIfTrue="1">
      <formula>"СЕС - ДЕС"</formula>
    </cfRule>
    <cfRule type="cellIs" priority="78" dxfId="144" operator="equal" stopIfTrue="1">
      <formula>"СЕС - КСФ"</formula>
    </cfRule>
  </conditionalFormatting>
  <conditionalFormatting sqref="F349">
    <cfRule type="cellIs" priority="73" dxfId="154" operator="equal" stopIfTrue="1">
      <formula>0</formula>
    </cfRule>
  </conditionalFormatting>
  <conditionalFormatting sqref="E351">
    <cfRule type="cellIs" priority="68" dxfId="144" operator="equal" stopIfTrue="1">
      <formula>98</formula>
    </cfRule>
    <cfRule type="cellIs" priority="69" dxfId="145" operator="equal" stopIfTrue="1">
      <formula>96</formula>
    </cfRule>
    <cfRule type="cellIs" priority="70" dxfId="146" operator="equal" stopIfTrue="1">
      <formula>42</formula>
    </cfRule>
    <cfRule type="cellIs" priority="71" dxfId="147" operator="equal" stopIfTrue="1">
      <formula>97</formula>
    </cfRule>
    <cfRule type="cellIs" priority="72" dxfId="148" operator="equal" stopIfTrue="1">
      <formula>33</formula>
    </cfRule>
  </conditionalFormatting>
  <conditionalFormatting sqref="F351">
    <cfRule type="cellIs" priority="63" dxfId="148" operator="equal" stopIfTrue="1">
      <formula>"ЧУЖДИ СРЕДСТВА"</formula>
    </cfRule>
    <cfRule type="cellIs" priority="64" dxfId="147" operator="equal" stopIfTrue="1">
      <formula>"СЕС - ДМП"</formula>
    </cfRule>
    <cfRule type="cellIs" priority="65" dxfId="146" operator="equal" stopIfTrue="1">
      <formula>"СЕС - РА"</formula>
    </cfRule>
    <cfRule type="cellIs" priority="66" dxfId="145" operator="equal" stopIfTrue="1">
      <formula>"СЕС - ДЕС"</formula>
    </cfRule>
    <cfRule type="cellIs" priority="67" dxfId="144" operator="equal" stopIfTrue="1">
      <formula>"СЕС - КСФ"</formula>
    </cfRule>
  </conditionalFormatting>
  <conditionalFormatting sqref="F434">
    <cfRule type="cellIs" priority="62" dxfId="154" operator="equal" stopIfTrue="1">
      <formula>0</formula>
    </cfRule>
  </conditionalFormatting>
  <conditionalFormatting sqref="E436">
    <cfRule type="cellIs" priority="57" dxfId="144" operator="equal" stopIfTrue="1">
      <formula>98</formula>
    </cfRule>
    <cfRule type="cellIs" priority="58" dxfId="145" operator="equal" stopIfTrue="1">
      <formula>96</formula>
    </cfRule>
    <cfRule type="cellIs" priority="59" dxfId="146" operator="equal" stopIfTrue="1">
      <formula>42</formula>
    </cfRule>
    <cfRule type="cellIs" priority="60" dxfId="147" operator="equal" stopIfTrue="1">
      <formula>97</formula>
    </cfRule>
    <cfRule type="cellIs" priority="61" dxfId="148" operator="equal" stopIfTrue="1">
      <formula>33</formula>
    </cfRule>
  </conditionalFormatting>
  <conditionalFormatting sqref="F436">
    <cfRule type="cellIs" priority="52" dxfId="148" operator="equal" stopIfTrue="1">
      <formula>"ЧУЖДИ СРЕДСТВА"</formula>
    </cfRule>
    <cfRule type="cellIs" priority="53" dxfId="147" operator="equal" stopIfTrue="1">
      <formula>"СЕС - ДМП"</formula>
    </cfRule>
    <cfRule type="cellIs" priority="54" dxfId="146" operator="equal" stopIfTrue="1">
      <formula>"СЕС - РА"</formula>
    </cfRule>
    <cfRule type="cellIs" priority="55" dxfId="145" operator="equal" stopIfTrue="1">
      <formula>"СЕС - ДЕС"</formula>
    </cfRule>
    <cfRule type="cellIs" priority="56" dxfId="144" operator="equal" stopIfTrue="1">
      <formula>"СЕС - КСФ"</formula>
    </cfRule>
  </conditionalFormatting>
  <conditionalFormatting sqref="E443">
    <cfRule type="cellIs" priority="51" dxfId="155" operator="notEqual" stopIfTrue="1">
      <formula>0</formula>
    </cfRule>
  </conditionalFormatting>
  <conditionalFormatting sqref="F443">
    <cfRule type="cellIs" priority="50" dxfId="155" operator="notEqual" stopIfTrue="1">
      <formula>0</formula>
    </cfRule>
  </conditionalFormatting>
  <conditionalFormatting sqref="G443">
    <cfRule type="cellIs" priority="49" dxfId="155" operator="notEqual" stopIfTrue="1">
      <formula>0</formula>
    </cfRule>
  </conditionalFormatting>
  <conditionalFormatting sqref="H443">
    <cfRule type="cellIs" priority="48" dxfId="155" operator="notEqual" stopIfTrue="1">
      <formula>0</formula>
    </cfRule>
  </conditionalFormatting>
  <conditionalFormatting sqref="I443">
    <cfRule type="cellIs" priority="47" dxfId="155" operator="notEqual" stopIfTrue="1">
      <formula>0</formula>
    </cfRule>
  </conditionalFormatting>
  <conditionalFormatting sqref="J443">
    <cfRule type="cellIs" priority="46" dxfId="155" operator="notEqual" stopIfTrue="1">
      <formula>0</formula>
    </cfRule>
  </conditionalFormatting>
  <conditionalFormatting sqref="K443">
    <cfRule type="cellIs" priority="45" dxfId="155" operator="notEqual" stopIfTrue="1">
      <formula>0</formula>
    </cfRule>
  </conditionalFormatting>
  <conditionalFormatting sqref="L443">
    <cfRule type="cellIs" priority="44" dxfId="155" operator="notEqual" stopIfTrue="1">
      <formula>0</formula>
    </cfRule>
  </conditionalFormatting>
  <conditionalFormatting sqref="E594">
    <cfRule type="cellIs" priority="43" dxfId="155" operator="notEqual" stopIfTrue="1">
      <formula>0</formula>
    </cfRule>
  </conditionalFormatting>
  <conditionalFormatting sqref="F594:G594">
    <cfRule type="cellIs" priority="42" dxfId="155" operator="notEqual" stopIfTrue="1">
      <formula>0</formula>
    </cfRule>
  </conditionalFormatting>
  <conditionalFormatting sqref="H594">
    <cfRule type="cellIs" priority="41" dxfId="155" operator="notEqual" stopIfTrue="1">
      <formula>0</formula>
    </cfRule>
  </conditionalFormatting>
  <conditionalFormatting sqref="I594">
    <cfRule type="cellIs" priority="40" dxfId="155" operator="notEqual" stopIfTrue="1">
      <formula>0</formula>
    </cfRule>
  </conditionalFormatting>
  <conditionalFormatting sqref="J594:K594">
    <cfRule type="cellIs" priority="39" dxfId="155" operator="notEqual" stopIfTrue="1">
      <formula>0</formula>
    </cfRule>
  </conditionalFormatting>
  <conditionalFormatting sqref="L594">
    <cfRule type="cellIs" priority="38" dxfId="155" operator="notEqual" stopIfTrue="1">
      <formula>0</formula>
    </cfRule>
  </conditionalFormatting>
  <conditionalFormatting sqref="F450">
    <cfRule type="cellIs" priority="36" dxfId="154" operator="equal" stopIfTrue="1">
      <formula>0</formula>
    </cfRule>
  </conditionalFormatting>
  <conditionalFormatting sqref="E452">
    <cfRule type="cellIs" priority="31" dxfId="144" operator="equal" stopIfTrue="1">
      <formula>98</formula>
    </cfRule>
    <cfRule type="cellIs" priority="32" dxfId="145" operator="equal" stopIfTrue="1">
      <formula>96</formula>
    </cfRule>
    <cfRule type="cellIs" priority="33" dxfId="146" operator="equal" stopIfTrue="1">
      <formula>42</formula>
    </cfRule>
    <cfRule type="cellIs" priority="34" dxfId="147" operator="equal" stopIfTrue="1">
      <formula>97</formula>
    </cfRule>
    <cfRule type="cellIs" priority="35" dxfId="148" operator="equal" stopIfTrue="1">
      <formula>33</formula>
    </cfRule>
  </conditionalFormatting>
  <conditionalFormatting sqref="F452">
    <cfRule type="cellIs" priority="26" dxfId="148" operator="equal" stopIfTrue="1">
      <formula>"ЧУЖДИ СРЕДСТВА"</formula>
    </cfRule>
    <cfRule type="cellIs" priority="27" dxfId="147" operator="equal" stopIfTrue="1">
      <formula>"СЕС - ДМП"</formula>
    </cfRule>
    <cfRule type="cellIs" priority="28" dxfId="146" operator="equal" stopIfTrue="1">
      <formula>"СЕС - РА"</formula>
    </cfRule>
    <cfRule type="cellIs" priority="29" dxfId="145" operator="equal" stopIfTrue="1">
      <formula>"СЕС - ДЕС"</formula>
    </cfRule>
    <cfRule type="cellIs" priority="30" dxfId="144" operator="equal" stopIfTrue="1">
      <formula>"СЕС - КСФ"</formula>
    </cfRule>
  </conditionalFormatting>
  <conditionalFormatting sqref="I9:J9">
    <cfRule type="cellIs" priority="21" dxfId="149" operator="between" stopIfTrue="1">
      <formula>1000000000000</formula>
      <formula>9999999999999990</formula>
    </cfRule>
    <cfRule type="cellIs" priority="22" dxfId="150" operator="between" stopIfTrue="1">
      <formula>10000000000</formula>
      <formula>999999999999</formula>
    </cfRule>
    <cfRule type="cellIs" priority="23" dxfId="151" operator="between" stopIfTrue="1">
      <formula>1000000</formula>
      <formula>99999999</formula>
    </cfRule>
    <cfRule type="cellIs" priority="24" dxfId="156" operator="between" stopIfTrue="1">
      <formula>100</formula>
      <formula>9900</formula>
    </cfRule>
  </conditionalFormatting>
  <conditionalFormatting sqref="G169">
    <cfRule type="cellIs" priority="18" dxfId="24" operator="greaterThan" stopIfTrue="1">
      <formula>$G$25</formula>
    </cfRule>
  </conditionalFormatting>
  <conditionalFormatting sqref="J169">
    <cfRule type="cellIs" priority="17" dxfId="24" operator="greaterThan" stopIfTrue="1">
      <formula>$J$25</formula>
    </cfRule>
  </conditionalFormatting>
  <conditionalFormatting sqref="F613">
    <cfRule type="cellIs" priority="16" dxfId="154" operator="equal" stopIfTrue="1">
      <formula>0</formula>
    </cfRule>
  </conditionalFormatting>
  <conditionalFormatting sqref="E615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F615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D622">
    <cfRule type="cellIs" priority="5" dxfId="0" operator="notEqual" stopIfTrue="1">
      <formula>"ИЗБЕРЕТЕ ДЕЙНОСТ"</formula>
    </cfRule>
  </conditionalFormatting>
  <conditionalFormatting sqref="D740">
    <cfRule type="cellIs" priority="4" dxfId="157" operator="equal" stopIfTrue="1">
      <formula>0</formula>
    </cfRule>
  </conditionalFormatting>
  <conditionalFormatting sqref="C622">
    <cfRule type="cellIs" priority="3" dxfId="0" operator="notEqual" stopIfTrue="1">
      <formula>0</formula>
    </cfRule>
  </conditionalFormatting>
  <conditionalFormatting sqref="D620">
    <cfRule type="cellIs" priority="2" dxfId="0" operator="notEqual" stopIfTrue="1">
      <formula>"ИЗБЕРЕТЕ ДЕЙНОСТ"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66">
      <selection activeCell="C266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2057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2058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77" t="s">
        <v>2054</v>
      </c>
      <c r="M23" s="1778"/>
      <c r="N23" s="1778"/>
      <c r="O23" s="1779"/>
      <c r="P23" s="1780" t="s">
        <v>2055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761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739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1689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1686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1687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702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703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933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711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711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54" operator="equal" stopIfTrue="1">
      <formula>0</formula>
    </cfRule>
  </conditionalFormatting>
  <conditionalFormatting sqref="L21">
    <cfRule type="cellIs" priority="11" dxfId="144" operator="equal" stopIfTrue="1">
      <formula>98</formula>
    </cfRule>
    <cfRule type="cellIs" priority="12" dxfId="145" operator="equal" stopIfTrue="1">
      <formula>96</formula>
    </cfRule>
    <cfRule type="cellIs" priority="13" dxfId="146" operator="equal" stopIfTrue="1">
      <formula>42</formula>
    </cfRule>
    <cfRule type="cellIs" priority="14" dxfId="147" operator="equal" stopIfTrue="1">
      <formula>97</formula>
    </cfRule>
    <cfRule type="cellIs" priority="15" dxfId="148" operator="equal" stopIfTrue="1">
      <formula>33</formula>
    </cfRule>
  </conditionalFormatting>
  <conditionalFormatting sqref="M21">
    <cfRule type="cellIs" priority="6" dxfId="148" operator="equal" stopIfTrue="1">
      <formula>"ЧУЖДИ СРЕДСТВА"</formula>
    </cfRule>
    <cfRule type="cellIs" priority="7" dxfId="147" operator="equal" stopIfTrue="1">
      <formula>"СЕС - ДМП"</formula>
    </cfRule>
    <cfRule type="cellIs" priority="8" dxfId="146" operator="equal" stopIfTrue="1">
      <formula>"СЕС - РА"</formula>
    </cfRule>
    <cfRule type="cellIs" priority="9" dxfId="145" operator="equal" stopIfTrue="1">
      <formula>"СЕС - ДЕС"</formula>
    </cfRule>
    <cfRule type="cellIs" priority="10" dxfId="144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5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Vision</cp:lastModifiedBy>
  <cp:lastPrinted>2018-01-15T11:15:30Z</cp:lastPrinted>
  <dcterms:created xsi:type="dcterms:W3CDTF">1997-12-10T11:54:07Z</dcterms:created>
  <dcterms:modified xsi:type="dcterms:W3CDTF">2018-01-15T11:15:44Z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